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パスワード保護（今回）/"/>
    </mc:Choice>
  </mc:AlternateContent>
  <xr:revisionPtr revIDLastSave="182" documentId="13_ncr:1_{CC3BD22D-DA13-4C33-A52A-0A52EAE2D61C}" xr6:coauthVersionLast="47" xr6:coauthVersionMax="47" xr10:uidLastSave="{F74F9FE3-FCF4-4F38-B8D8-9F77BB02A04C}"/>
  <workbookProtection workbookAlgorithmName="SHA-512" workbookHashValue="tN5UpeHkyFmj15Fe740esYu6pmmHIjdkiXTqHZ9EnWMgQ/+th77UuzZhz3lt5JwhSk5wIQgBgbz3i2SkXpjQwA==" workbookSaltValue="1iknb6Tcm9N8zKA+VgZrxw==" workbookSpinCount="100000" lockStructure="1"/>
  <bookViews>
    <workbookView xWindow="-120" yWindow="-120" windowWidth="29040" windowHeight="1572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CO2削減量及び費用対効果!$A$1:$K$34</definedName>
    <definedName name="_xlnm.Print_Area" localSheetId="5">原単位!$A$1:$L$22</definedName>
    <definedName name="_xlnm.Print_Area" localSheetId="3">設備機器一覧表!$B$1:$N$27</definedName>
    <definedName name="_xlnm.Print_Area" localSheetId="2">電力計算部!$A$1:$L$53</definedName>
    <definedName name="_xlnm.Print_Area" localSheetId="0">入力シート!$A$1:$J$61,入力シート!$P$62:$Z$169</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原単位!$B$3:$F$6</definedName>
    <definedName name="素材名" localSheetId="3">[8]原単位!$B$3:$B$19</definedName>
    <definedName name="素材名">原単位!$B$3:$B$6</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9" i="9" l="1"/>
  <c r="Y153" i="9"/>
  <c r="Y152" i="9"/>
  <c r="Y151" i="9"/>
  <c r="AA154" i="9"/>
  <c r="AA153" i="9"/>
  <c r="AA152" i="9"/>
  <c r="AA151" i="9"/>
  <c r="AA150" i="9"/>
  <c r="AA80" i="9"/>
  <c r="AA79" i="9"/>
  <c r="AA78" i="9"/>
  <c r="AA77" i="9"/>
  <c r="AA76" i="9"/>
  <c r="AA75" i="9"/>
  <c r="AA73" i="9"/>
  <c r="AA72" i="9"/>
  <c r="AA71" i="9"/>
  <c r="AA70" i="9"/>
  <c r="AA69" i="9"/>
  <c r="AA68" i="9"/>
  <c r="AH70" i="9"/>
  <c r="K25" i="12"/>
  <c r="L25" i="12"/>
  <c r="K24" i="12"/>
  <c r="K1" i="16"/>
  <c r="M35" i="9" l="1"/>
  <c r="C4" i="12" l="1"/>
  <c r="C10" i="12"/>
  <c r="K18" i="12"/>
  <c r="K19" i="12" s="1"/>
  <c r="K15" i="12"/>
  <c r="K22" i="12"/>
  <c r="C9" i="12" s="1"/>
  <c r="K6" i="12"/>
  <c r="C5" i="12"/>
  <c r="K12" i="12"/>
  <c r="B32" i="13"/>
  <c r="D32" i="13" s="1"/>
  <c r="C8" i="12" l="1"/>
  <c r="E6" i="1"/>
  <c r="AC98" i="9" l="1"/>
  <c r="AD98" i="9" s="1"/>
  <c r="AC97" i="9"/>
  <c r="AD97" i="9" s="1"/>
  <c r="AC96" i="9"/>
  <c r="AD96" i="9" s="1"/>
  <c r="AC95" i="9"/>
  <c r="AD95" i="9" s="1"/>
  <c r="AC94" i="9"/>
  <c r="AD94" i="9" s="1"/>
  <c r="AC93" i="9"/>
  <c r="AD93" i="9" s="1"/>
  <c r="AC109" i="9"/>
  <c r="AC108" i="9"/>
  <c r="AC107" i="9"/>
  <c r="AC106" i="9"/>
  <c r="AC105" i="9"/>
  <c r="AC104" i="9"/>
  <c r="AC91" i="9"/>
  <c r="AD91" i="9" s="1"/>
  <c r="AC90" i="9"/>
  <c r="AD90" i="9" s="1"/>
  <c r="AC89" i="9"/>
  <c r="AD89" i="9" s="1"/>
  <c r="AC88" i="9"/>
  <c r="AD88" i="9" s="1"/>
  <c r="AC87" i="9"/>
  <c r="AD87" i="9" s="1"/>
  <c r="AC86" i="9"/>
  <c r="AD86" i="9" s="1"/>
  <c r="E23" i="1" l="1"/>
  <c r="E32" i="1" s="1"/>
  <c r="M7" i="9"/>
  <c r="N7" i="9" s="1"/>
  <c r="M8" i="9"/>
  <c r="N8" i="9" s="1"/>
  <c r="M9" i="9"/>
  <c r="N9" i="9" s="1"/>
  <c r="M10" i="9"/>
  <c r="N10" i="9" s="1"/>
  <c r="M11" i="9"/>
  <c r="N11" i="9" s="1"/>
  <c r="M12" i="9"/>
  <c r="N12" i="9" s="1"/>
  <c r="F13" i="9"/>
  <c r="G13" i="9"/>
  <c r="G28" i="9"/>
  <c r="N35" i="9"/>
  <c r="M36" i="9"/>
  <c r="N36" i="9" s="1"/>
  <c r="M37" i="9"/>
  <c r="N37" i="9" s="1"/>
  <c r="M38" i="9"/>
  <c r="N38" i="9" s="1"/>
  <c r="M39" i="9"/>
  <c r="N39" i="9" s="1"/>
  <c r="M40" i="9"/>
  <c r="N40" i="9" s="1"/>
  <c r="F41" i="9"/>
  <c r="G41" i="9"/>
  <c r="G56" i="9"/>
  <c r="H23" i="16"/>
  <c r="H22" i="16"/>
  <c r="K18" i="16"/>
  <c r="I33" i="16" s="1"/>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F42" i="16" s="1"/>
  <c r="B9" i="16"/>
  <c r="F41" i="16" s="1"/>
  <c r="B8" i="16"/>
  <c r="F40" i="16" s="1"/>
  <c r="B7" i="16"/>
  <c r="F39" i="16" s="1"/>
  <c r="B6" i="16"/>
  <c r="F38" i="16" s="1"/>
  <c r="B5" i="16"/>
  <c r="F37" i="16" s="1"/>
  <c r="E11" i="1"/>
  <c r="E10" i="1"/>
  <c r="E9" i="1"/>
  <c r="E8" i="1"/>
  <c r="E7" i="1"/>
  <c r="C7" i="1"/>
  <c r="C11" i="1"/>
  <c r="C10" i="1"/>
  <c r="C9" i="1"/>
  <c r="C8" i="1"/>
  <c r="C6" i="1"/>
  <c r="J16" i="16"/>
  <c r="N28" i="16" l="1"/>
  <c r="J28" i="16" s="1"/>
  <c r="K28" i="16" s="1"/>
  <c r="N41" i="9"/>
  <c r="I41" i="9" s="1"/>
  <c r="H17" i="1" s="1"/>
  <c r="N13" i="9"/>
  <c r="I13" i="9" s="1"/>
  <c r="H18" i="1" s="1"/>
  <c r="G51" i="16"/>
  <c r="P27" i="16"/>
  <c r="P10" i="16"/>
  <c r="P9" i="16"/>
  <c r="G50"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H19" i="1" l="1"/>
  <c r="P22" i="16"/>
  <c r="F48" i="16" s="1"/>
  <c r="G48" i="16" s="1"/>
  <c r="P5" i="16"/>
  <c r="G39" i="16"/>
  <c r="J32" i="16"/>
  <c r="K15" i="16"/>
  <c r="J15" i="16"/>
  <c r="K32" i="16"/>
  <c r="F49" i="16" l="1"/>
  <c r="G49" i="16" s="1"/>
  <c r="G40" i="16"/>
  <c r="G37" i="16"/>
  <c r="F46" i="16"/>
  <c r="G46" i="16" s="1"/>
  <c r="G38" i="16"/>
  <c r="F47" i="16"/>
  <c r="G47" i="16" s="1"/>
  <c r="G52" i="16" l="1"/>
  <c r="Y134" i="9" s="1"/>
  <c r="G43" i="16"/>
  <c r="Y124" i="9" s="1"/>
  <c r="AB154" i="9"/>
  <c r="AB153" i="9"/>
  <c r="AB152" i="9"/>
  <c r="AB151" i="9"/>
  <c r="AB150" i="9"/>
  <c r="AB149" i="9"/>
  <c r="AA147" i="9"/>
  <c r="AB147" i="9" s="1"/>
  <c r="AA146" i="9"/>
  <c r="AB146" i="9" s="1"/>
  <c r="AA145" i="9"/>
  <c r="AB145" i="9" s="1"/>
  <c r="AA144" i="9"/>
  <c r="AB144" i="9" s="1"/>
  <c r="AA143" i="9"/>
  <c r="AB143" i="9" s="1"/>
  <c r="AA142" i="9"/>
  <c r="AB142" i="9" s="1"/>
  <c r="AC122" i="9"/>
  <c r="AD122" i="9" s="1"/>
  <c r="AC134" i="9"/>
  <c r="AD134" i="9" s="1"/>
  <c r="AC133" i="9"/>
  <c r="AD133" i="9" s="1"/>
  <c r="AC132" i="9"/>
  <c r="AD132" i="9" s="1"/>
  <c r="AC131" i="9"/>
  <c r="AD131" i="9" s="1"/>
  <c r="AC130" i="9"/>
  <c r="AD130" i="9" s="1"/>
  <c r="AC129" i="9"/>
  <c r="AD129" i="9" s="1"/>
  <c r="AC127" i="9"/>
  <c r="AD127" i="9" s="1"/>
  <c r="AC126" i="9"/>
  <c r="AD126" i="9" s="1"/>
  <c r="AC125" i="9"/>
  <c r="AD125" i="9" s="1"/>
  <c r="AC124" i="9"/>
  <c r="AD124" i="9" s="1"/>
  <c r="AC123" i="9"/>
  <c r="AD123" i="9" s="1"/>
  <c r="AC116" i="9"/>
  <c r="AD116" i="9" s="1"/>
  <c r="AC115" i="9"/>
  <c r="AD115" i="9" s="1"/>
  <c r="AC114" i="9"/>
  <c r="AD114" i="9" s="1"/>
  <c r="AC112" i="9"/>
  <c r="AD112" i="9" s="1"/>
  <c r="AC111" i="9"/>
  <c r="AD111" i="9" s="1"/>
  <c r="AD109" i="9"/>
  <c r="AD108" i="9"/>
  <c r="AD107" i="9"/>
  <c r="AD105" i="9"/>
  <c r="AD104" i="9"/>
  <c r="AD99" i="9"/>
  <c r="AD92" i="9"/>
  <c r="Y92" i="9" s="1"/>
  <c r="AB80" i="9"/>
  <c r="AB79" i="9"/>
  <c r="AB78" i="9"/>
  <c r="AB77" i="9"/>
  <c r="AB76" i="9"/>
  <c r="AB75" i="9"/>
  <c r="AB73" i="9"/>
  <c r="AB72" i="9"/>
  <c r="AB71" i="9"/>
  <c r="AB70" i="9"/>
  <c r="AB69" i="9"/>
  <c r="AB68" i="9"/>
  <c r="AJ73" i="9"/>
  <c r="AK73" i="9" s="1"/>
  <c r="AG73" i="9"/>
  <c r="T54" i="14"/>
  <c r="S57" i="14" s="1"/>
  <c r="V57" i="14"/>
  <c r="Y99" i="9" l="1"/>
  <c r="E18" i="1" s="1"/>
  <c r="W57" i="14"/>
  <c r="E17" i="1"/>
  <c r="AC142" i="9"/>
  <c r="AD142" i="9" s="1"/>
  <c r="Y142" i="9" s="1"/>
  <c r="AC143" i="9"/>
  <c r="AD143" i="9" s="1"/>
  <c r="Y143" i="9" s="1"/>
  <c r="AC145" i="9"/>
  <c r="AD145" i="9" s="1"/>
  <c r="Y145" i="9" s="1"/>
  <c r="AC146" i="9"/>
  <c r="AD146" i="9" s="1"/>
  <c r="Y146" i="9" s="1"/>
  <c r="AC144" i="9"/>
  <c r="AD144" i="9" s="1"/>
  <c r="Y144" i="9" s="1"/>
  <c r="AC149" i="9"/>
  <c r="AD149" i="9" s="1"/>
  <c r="Y149" i="9" s="1"/>
  <c r="AC150" i="9"/>
  <c r="AD150" i="9" s="1"/>
  <c r="Y150" i="9" s="1"/>
  <c r="AC151" i="9"/>
  <c r="AD151" i="9" s="1"/>
  <c r="AC152" i="9"/>
  <c r="AD152" i="9" s="1"/>
  <c r="AC153" i="9"/>
  <c r="AD153" i="9" s="1"/>
  <c r="AC147" i="9"/>
  <c r="AD147" i="9" s="1"/>
  <c r="Y147" i="9" s="1"/>
  <c r="AC154" i="9"/>
  <c r="AD154" i="9" s="1"/>
  <c r="Y154" i="9" s="1"/>
  <c r="AD128" i="9"/>
  <c r="Y128" i="9" s="1"/>
  <c r="F17" i="1" s="1"/>
  <c r="AD135" i="9"/>
  <c r="Y135" i="9" s="1"/>
  <c r="AL73" i="9"/>
  <c r="AC75" i="9"/>
  <c r="AD75" i="9" s="1"/>
  <c r="Y75" i="9" s="1"/>
  <c r="AC68" i="9"/>
  <c r="AD68" i="9" s="1"/>
  <c r="AC78" i="9"/>
  <c r="AD78" i="9" s="1"/>
  <c r="Y78" i="9" s="1"/>
  <c r="AC79" i="9"/>
  <c r="AD79" i="9" s="1"/>
  <c r="Y79" i="9" s="1"/>
  <c r="AC69" i="9"/>
  <c r="AD69" i="9" s="1"/>
  <c r="Y69" i="9" s="1"/>
  <c r="AC77" i="9"/>
  <c r="AD77" i="9" s="1"/>
  <c r="Y77" i="9" s="1"/>
  <c r="AC70" i="9"/>
  <c r="AD70" i="9" s="1"/>
  <c r="Y70" i="9" s="1"/>
  <c r="AC72" i="9"/>
  <c r="AD72" i="9" s="1"/>
  <c r="Y72" i="9" s="1"/>
  <c r="AC73" i="9"/>
  <c r="AD73" i="9" s="1"/>
  <c r="Y73" i="9" s="1"/>
  <c r="AC76" i="9"/>
  <c r="AD76" i="9" s="1"/>
  <c r="Y76" i="9" s="1"/>
  <c r="AC71" i="9"/>
  <c r="AD71" i="9" s="1"/>
  <c r="Y71" i="9" s="1"/>
  <c r="AC80" i="9"/>
  <c r="AD80" i="9" s="1"/>
  <c r="Y80" i="9" s="1"/>
  <c r="F18" i="1" l="1"/>
  <c r="F19" i="1" s="1"/>
  <c r="E19" i="1"/>
  <c r="Y155" i="9"/>
  <c r="I18" i="1" s="1"/>
  <c r="AD155" i="9"/>
  <c r="Y148" i="9"/>
  <c r="I17" i="1" s="1"/>
  <c r="AD148" i="9"/>
  <c r="AD74" i="9"/>
  <c r="Y74" i="9" s="1"/>
  <c r="AD81" i="9"/>
  <c r="Y81" i="9" s="1"/>
  <c r="D18" i="1" s="1"/>
  <c r="Y68" i="9"/>
  <c r="D17" i="1" l="1"/>
  <c r="D19" i="1" s="1"/>
  <c r="I19" i="1"/>
  <c r="E23" i="13"/>
  <c r="D22" i="13" l="1"/>
  <c r="E22" i="13" s="1"/>
  <c r="AD106" i="9" l="1"/>
  <c r="AC113" i="9"/>
  <c r="AD113" i="9" s="1"/>
  <c r="E12" i="1"/>
  <c r="E33" i="1" s="1"/>
  <c r="AD117" i="9" l="1"/>
  <c r="Y117" i="9" s="1"/>
  <c r="G18" i="1" s="1"/>
  <c r="J18" i="1" s="1"/>
  <c r="AD110" i="9"/>
  <c r="Y110" i="9" l="1"/>
  <c r="G17" i="1" s="1"/>
  <c r="G19" i="1" l="1"/>
  <c r="J17" i="1"/>
  <c r="J19" i="1" s="1"/>
  <c r="E28" i="1" s="1"/>
  <c r="AF103" i="1"/>
  <c r="AF102" i="1"/>
  <c r="AF101" i="1"/>
  <c r="AF100" i="1"/>
  <c r="AF99" i="1"/>
  <c r="AF98" i="1"/>
  <c r="AF97" i="1"/>
  <c r="AF96" i="1"/>
  <c r="AF95" i="1"/>
  <c r="AF94" i="1"/>
  <c r="AF93" i="1"/>
  <c r="AF92" i="1"/>
  <c r="AF91" i="1"/>
  <c r="AF90" i="1"/>
  <c r="AF89" i="1"/>
  <c r="AF88" i="1"/>
  <c r="AF87" i="1"/>
  <c r="E29" i="1" l="1"/>
</calcChain>
</file>

<file path=xl/sharedStrings.xml><?xml version="1.0" encoding="utf-8"?>
<sst xmlns="http://schemas.openxmlformats.org/spreadsheetml/2006/main" count="515" uniqueCount="334">
  <si>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</si>
  <si>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</si>
  <si>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</si>
  <si>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</si>
  <si>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30"/>
  </si>
  <si>
    <t>プロセス</t>
    <phoneticPr fontId="30"/>
  </si>
  <si>
    <t>輸送</t>
    <rPh sb="0" eb="2">
      <t>ユソウ</t>
    </rPh>
    <phoneticPr fontId="2"/>
  </si>
  <si>
    <t>合計</t>
    <rPh sb="0" eb="2">
      <t>ゴウケイ</t>
    </rPh>
    <phoneticPr fontId="30"/>
  </si>
  <si>
    <t>①事業実施前ＣＯ２排出量</t>
    <rPh sb="1" eb="6">
      <t>ジギョウジッシマエ</t>
    </rPh>
    <rPh sb="9" eb="12">
      <t>ハイシュツリョウ</t>
    </rPh>
    <phoneticPr fontId="30"/>
  </si>
  <si>
    <t>②事業実施後ＣＯ２排出量</t>
    <rPh sb="1" eb="6">
      <t>ジギョウジッシゴ</t>
    </rPh>
    <rPh sb="9" eb="12">
      <t>ハイシュツリョウ</t>
    </rPh>
    <phoneticPr fontId="30"/>
  </si>
  <si>
    <t>③事業実施によるＣＯ２削減量
（①－②）</t>
    <rPh sb="1" eb="5">
      <t>ジギョウジッシ</t>
    </rPh>
    <rPh sb="11" eb="14">
      <t>サクゲンリョウ</t>
    </rPh>
    <phoneticPr fontId="30"/>
  </si>
  <si>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</si>
  <si>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</si>
  <si>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</si>
  <si>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</si>
  <si>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</si>
  <si>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</si>
  <si>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</si>
  <si>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</si>
  <si>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</si>
  <si>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</si>
  <si>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</si>
  <si>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</si>
  <si>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</si>
  <si>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</si>
  <si>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30"/>
  </si>
  <si>
    <r>
      <t>ライン</t>
    </r>
    <r>
      <rPr>
        <sz val="8"/>
        <color theme="1"/>
        <rFont val="ＭＳ Ｐゴシック"/>
        <family val="3"/>
        <charset val="128"/>
        <scheme val="minor"/>
      </rPr>
      <t>ＮＯ</t>
    </r>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</si>
  <si>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</si>
  <si>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（年間増加量をトンで
数値を記入して下さい）</t>
    </r>
    <rPh sb="0" eb="2">
      <t>ショリ</t>
    </rPh>
    <rPh sb="2" eb="3">
      <t>リョウ</t>
    </rPh>
    <rPh sb="7" eb="8">
      <t>ネン</t>
    </rPh>
    <rPh sb="11" eb="13">
      <t>ネンカン</t>
    </rPh>
    <rPh sb="13" eb="15">
      <t>ゾウカ</t>
    </rPh>
    <rPh sb="15" eb="16">
      <t>リョウ</t>
    </rPh>
    <rPh sb="21" eb="23">
      <t>スウチ</t>
    </rPh>
    <rPh sb="24" eb="26">
      <t>キニュウ</t>
    </rPh>
    <rPh sb="28" eb="29">
      <t>クダ</t>
    </rPh>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</si>
  <si>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</si>
  <si>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</si>
  <si>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</si>
  <si>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</si>
  <si>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</si>
  <si>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</si>
  <si>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</si>
  <si>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</si>
  <si>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</si>
  <si>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</si>
  <si>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30"/>
  </si>
  <si>
    <t>②</t>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</si>
  <si>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</si>
  <si>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</si>
  <si>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</si>
  <si>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</si>
  <si>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</si>
  <si>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</si>
  <si>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</si>
  <si>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</si>
  <si>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</si>
  <si>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</si>
  <si>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</si>
  <si>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</si>
  <si>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38"/>
  </si>
  <si>
    <t>処理量(t)</t>
    <phoneticPr fontId="2"/>
  </si>
  <si>
    <t>原単位</t>
    <rPh sb="0" eb="3">
      <t>ゲンタンイ</t>
    </rPh>
    <phoneticPr fontId="2"/>
  </si>
  <si>
    <t>事業実施後</t>
    <rPh sb="0" eb="2">
      <t>ジギョウ</t>
    </rPh>
    <rPh sb="2" eb="5">
      <t>ジッシゴ</t>
    </rPh>
    <phoneticPr fontId="30"/>
  </si>
  <si>
    <t>B</t>
    <phoneticPr fontId="38"/>
  </si>
  <si>
    <t>輸　送</t>
    <rPh sb="0" eb="1">
      <t>ユ</t>
    </rPh>
    <rPh sb="2" eb="3">
      <t>ソウ</t>
    </rPh>
    <phoneticPr fontId="30"/>
  </si>
  <si>
    <t>カテ
ゴリ</t>
    <phoneticPr fontId="30"/>
  </si>
  <si>
    <t>No．</t>
    <phoneticPr fontId="30"/>
  </si>
  <si>
    <t>項目名</t>
    <rPh sb="0" eb="2">
      <t>コウモク</t>
    </rPh>
    <rPh sb="2" eb="3">
      <t>メイ</t>
    </rPh>
    <phoneticPr fontId="30"/>
  </si>
  <si>
    <t>トラック輸送</t>
    <rPh sb="4" eb="6">
      <t>ユソウ</t>
    </rPh>
    <phoneticPr fontId="2"/>
  </si>
  <si>
    <t>入力項目</t>
    <rPh sb="0" eb="4">
      <t>ニュウリョクコウモク</t>
    </rPh>
    <phoneticPr fontId="30"/>
  </si>
  <si>
    <t>小型貨物車
普通貨物車</t>
    <phoneticPr fontId="15"/>
  </si>
  <si>
    <t>積載量</t>
    <rPh sb="0" eb="3">
      <t>セキサイリョウ</t>
    </rPh>
    <phoneticPr fontId="2"/>
  </si>
  <si>
    <t>積載率</t>
    <rPh sb="0" eb="3">
      <t>セキサイリツ</t>
    </rPh>
    <phoneticPr fontId="2"/>
  </si>
  <si>
    <t>輸送距離（km）</t>
    <rPh sb="0" eb="4">
      <t>ユソウキョリ</t>
    </rPh>
    <phoneticPr fontId="30"/>
  </si>
  <si>
    <t>中央値</t>
  </si>
  <si>
    <t>燃料使用量</t>
    <phoneticPr fontId="15"/>
  </si>
  <si>
    <t>排出量原単位数値</t>
    <rPh sb="0" eb="2">
      <t>ハイシュツ</t>
    </rPh>
    <rPh sb="3" eb="6">
      <t>ゲンタンイ</t>
    </rPh>
    <rPh sb="6" eb="8">
      <t>スウチ</t>
    </rPh>
    <phoneticPr fontId="15"/>
  </si>
  <si>
    <t>軽油</t>
    <rPh sb="0" eb="2">
      <t>ケイユ</t>
    </rPh>
    <phoneticPr fontId="15"/>
  </si>
  <si>
    <t>事業実施前</t>
    <rPh sb="0" eb="4">
      <t>ジギョウジッシ</t>
    </rPh>
    <rPh sb="4" eb="5">
      <t>マエ</t>
    </rPh>
    <phoneticPr fontId="2"/>
  </si>
  <si>
    <t>ln y＝2.71－0.812 ln (x/100)－0.654 ln z</t>
  </si>
  <si>
    <t>kg</t>
    <phoneticPr fontId="15"/>
  </si>
  <si>
    <t>積載率</t>
  </si>
  <si>
    <t>%</t>
    <phoneticPr fontId="15"/>
  </si>
  <si>
    <t>単位発熱</t>
    <rPh sb="0" eb="2">
      <t>タンイ</t>
    </rPh>
    <rPh sb="2" eb="4">
      <t>ハツネツ</t>
    </rPh>
    <phoneticPr fontId="15"/>
  </si>
  <si>
    <t>排出係数</t>
    <rPh sb="0" eb="2">
      <t>ハイシュツ</t>
    </rPh>
    <rPh sb="2" eb="4">
      <t>ケイスウ</t>
    </rPh>
    <phoneticPr fontId="15"/>
  </si>
  <si>
    <t>44/12</t>
    <phoneticPr fontId="15"/>
  </si>
  <si>
    <t>係数</t>
    <rPh sb="0" eb="2">
      <t>ケイスウ</t>
    </rPh>
    <phoneticPr fontId="2"/>
  </si>
  <si>
    <t>排出量</t>
    <rPh sb="0" eb="3">
      <t>ハイシュツリョウ</t>
    </rPh>
    <phoneticPr fontId="15"/>
  </si>
  <si>
    <t>合計</t>
    <rPh sb="0" eb="2">
      <t>ゴウケイ</t>
    </rPh>
    <phoneticPr fontId="2"/>
  </si>
  <si>
    <t>事業実施後</t>
    <rPh sb="0" eb="4">
      <t>ジギョウジッシ</t>
    </rPh>
    <rPh sb="4" eb="5">
      <t>ゴ</t>
    </rPh>
    <phoneticPr fontId="2"/>
  </si>
  <si>
    <t>(l/トンキロ)</t>
    <phoneticPr fontId="15"/>
  </si>
  <si>
    <t>(GJ/kl)</t>
  </si>
  <si>
    <t>(tC/GJ)</t>
    <phoneticPr fontId="15"/>
  </si>
  <si>
    <t>ｔCO2</t>
    <phoneticPr fontId="15"/>
  </si>
  <si>
    <t>原単位名</t>
    <rPh sb="0" eb="3">
      <t>ゲンタンイ</t>
    </rPh>
    <rPh sb="3" eb="4">
      <t>メイ</t>
    </rPh>
    <phoneticPr fontId="2"/>
  </si>
  <si>
    <t>リサイクル(ユーティリティー)</t>
    <phoneticPr fontId="30"/>
  </si>
  <si>
    <t>活動量（m3）</t>
    <rPh sb="0" eb="3">
      <t>カツドウリョウ</t>
    </rPh>
    <phoneticPr fontId="30"/>
  </si>
  <si>
    <t>電力計算</t>
    <rPh sb="0" eb="4">
      <t>デンリョクケイサン</t>
    </rPh>
    <phoneticPr fontId="15"/>
  </si>
  <si>
    <t>電力計算部シート参照</t>
    <rPh sb="0" eb="2">
      <t>デンリョク</t>
    </rPh>
    <rPh sb="2" eb="5">
      <t>ケイサンブ</t>
    </rPh>
    <rPh sb="8" eb="10">
      <t>サンショウ</t>
    </rPh>
    <phoneticPr fontId="2"/>
  </si>
  <si>
    <t>[２]温対法算定・報告・公表制度における【輸送】に関する排出係数（3/3）</t>
    <phoneticPr fontId="15"/>
  </si>
  <si>
    <t>　　③トンキロ法</t>
    <phoneticPr fontId="15"/>
  </si>
  <si>
    <t>Scope1〇　Scope2〇</t>
    <phoneticPr fontId="15"/>
  </si>
  <si>
    <t>Scope3(上流)：Cat01〇｜Cat02〇｜Cat03〇｜Cat04●｜Cat05〇｜Cat06〇｜Cat07〇｜Cat08〇</t>
    <phoneticPr fontId="15"/>
  </si>
  <si>
    <t>Scope3(下流)：Cat09●｜Cat10〇｜Cat11〇｜Cat12〇｜Cat13〇｜Cat14〇｜Cat15〇</t>
    <phoneticPr fontId="15"/>
  </si>
  <si>
    <t>＜排出原単位について＞</t>
    <phoneticPr fontId="15"/>
  </si>
  <si>
    <t>「温室効果ガス排出量算定・報告マニュアル」を基に作成しています。</t>
    <phoneticPr fontId="15"/>
  </si>
  <si>
    <t>なお、トンキロに関する排出原単位については、IDEAに掲載されている数値を用いることもできます。</t>
    <phoneticPr fontId="15"/>
  </si>
  <si>
    <t>積載率と車両の燃料種類、最大積載量別の輸送トンキロからCO2排出量を算定します。</t>
    <phoneticPr fontId="15"/>
  </si>
  <si>
    <t>トンキロ法の場合でも実測等によりCO2排出原単位が把握できる場合には、報告する排出量の算定の際にその値を用いることができます。</t>
    <phoneticPr fontId="15"/>
  </si>
  <si>
    <t>[トラック]CO2排出量＝輸送トンキロ×トンキロ法燃料使用原単位[D]×単位発熱量[A]×排出係数[B]×44/12</t>
    <phoneticPr fontId="15"/>
  </si>
  <si>
    <t>トラックの最大積載量別積載率別の燃料使用原単位に最大積載量別積載率別に細分化された輸送トンキロをかけて算定します。</t>
    <phoneticPr fontId="15"/>
  </si>
  <si>
    <t>この手法では積載率による原単位の違いを反映できます。（参考表に一例を掲載します。）</t>
    <phoneticPr fontId="15"/>
  </si>
  <si>
    <t>なお、輸送トンキロは以下の方法により貨物重量と輸送距離から求めます。</t>
    <phoneticPr fontId="15"/>
  </si>
  <si>
    <t>輸送トンキロ＝貨物重量（t）× 輸送距離（km）</t>
    <phoneticPr fontId="15"/>
  </si>
  <si>
    <t>トラックの輸送トンキロ当たり燃料使用量（燃料使用原単位）については、次の数式に基づき算出します。</t>
    <phoneticPr fontId="15"/>
  </si>
  <si>
    <t>【ガソリン車】</t>
    <phoneticPr fontId="15"/>
  </si>
  <si>
    <t>ln y＝2.67－0.927 ln (x/100)－0.648 ln z</t>
    <phoneticPr fontId="15"/>
  </si>
  <si>
    <t>【ディーゼル車】</t>
    <phoneticPr fontId="15"/>
  </si>
  <si>
    <t>ln y＝2.71－0.812 ln (x/100)－0.654 ln z</t>
    <phoneticPr fontId="15"/>
  </si>
  <si>
    <t>ただし、y：輸送トンキロ当たり燃料使用量（l）、x：積載率（%）、z：最大積載量（kg）。</t>
    <phoneticPr fontId="15"/>
  </si>
  <si>
    <t>積載率10％未満の場合は、積載率10％の時の値を用いる。</t>
    <phoneticPr fontId="15"/>
  </si>
  <si>
    <t>なお、表記「ln」は自然対数（eを底とする対数）</t>
    <phoneticPr fontId="15"/>
  </si>
  <si>
    <t>トラック以外の輸送モード（鉄道、船舶、航空）については、輸送機関別CO2排出原単位（下表）を用いて算定します。</t>
    <phoneticPr fontId="15"/>
  </si>
  <si>
    <t>[鉄道、船舶、航空機]CO2排出量＝輸送トンキロ×トンキロ当たりの排出係数[E]</t>
    <phoneticPr fontId="15"/>
  </si>
  <si>
    <t>トラック以外の輸送モード（鉄道、船舶、航空）の輸送トンキロ当たりCO2排出原単位</t>
    <phoneticPr fontId="15"/>
  </si>
  <si>
    <t>輸送機関</t>
    <phoneticPr fontId="15"/>
  </si>
  <si>
    <t>CO2排出原単位[E]</t>
    <phoneticPr fontId="15"/>
  </si>
  <si>
    <t>（gCO2/トンキロ）</t>
    <phoneticPr fontId="15"/>
  </si>
  <si>
    <t>鉄道</t>
    <phoneticPr fontId="15"/>
  </si>
  <si>
    <t>船舶</t>
    <phoneticPr fontId="15"/>
  </si>
  <si>
    <t>航空</t>
    <phoneticPr fontId="15"/>
  </si>
  <si>
    <t>注１：</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</si>
  <si>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</si>
  <si>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出典：</t>
    <phoneticPr fontId="15"/>
  </si>
  <si>
    <t>環境省</t>
    <phoneticPr fontId="15"/>
  </si>
  <si>
    <t>表3. 燃料別最大積載量別の積載率別輸送トンキロ当たり燃料使用量</t>
    <phoneticPr fontId="15"/>
  </si>
  <si>
    <t>車種</t>
    <phoneticPr fontId="15"/>
  </si>
  <si>
    <t>燃料</t>
    <phoneticPr fontId="15"/>
  </si>
  <si>
    <t>最大積載量
（kg)</t>
    <phoneticPr fontId="15"/>
  </si>
  <si>
    <t>車種別の
平均積載率
(％)</t>
    <phoneticPr fontId="15"/>
  </si>
  <si>
    <t>輸送トンキロ当たり燃料使用量[D]
(l/トンキロ)</t>
    <phoneticPr fontId="15"/>
  </si>
  <si>
    <t>単位
発熱量</t>
    <phoneticPr fontId="15"/>
  </si>
  <si>
    <t>排出
係数</t>
    <phoneticPr fontId="15"/>
  </si>
  <si>
    <t>[参考]
原単位</t>
    <phoneticPr fontId="15"/>
  </si>
  <si>
    <t>積載率別一覧</t>
    <phoneticPr fontId="15"/>
  </si>
  <si>
    <t>中央値</t>
    <phoneticPr fontId="15"/>
  </si>
  <si>
    <t>営業用</t>
    <phoneticPr fontId="15"/>
  </si>
  <si>
    <t>自家用</t>
    <phoneticPr fontId="15"/>
  </si>
  <si>
    <t>平均積載率</t>
    <phoneticPr fontId="15"/>
  </si>
  <si>
    <t>[A]</t>
    <phoneticPr fontId="15"/>
  </si>
  <si>
    <t>[B]</t>
    <phoneticPr fontId="15"/>
  </si>
  <si>
    <t>[A]×[B]×44/12</t>
    <phoneticPr fontId="15"/>
  </si>
  <si>
    <t>(GJ/kl)</t>
    <phoneticPr fontId="15"/>
  </si>
  <si>
    <t>(tCO2/kl)</t>
    <phoneticPr fontId="15"/>
  </si>
  <si>
    <t>軽貨物車</t>
    <phoneticPr fontId="15"/>
  </si>
  <si>
    <t>ガソリン</t>
    <phoneticPr fontId="15"/>
  </si>
  <si>
    <t>小型貨物車</t>
    <phoneticPr fontId="15"/>
  </si>
  <si>
    <t>普通貨物車</t>
    <phoneticPr fontId="15"/>
  </si>
  <si>
    <t>軽油</t>
    <phoneticPr fontId="15"/>
  </si>
  <si>
    <t>～999</t>
    <phoneticPr fontId="15"/>
  </si>
  <si>
    <t>1,000～1,999</t>
    <phoneticPr fontId="15"/>
  </si>
  <si>
    <t>2,000～3,999</t>
    <phoneticPr fontId="15"/>
  </si>
  <si>
    <t>4,000～5,999</t>
    <phoneticPr fontId="15"/>
  </si>
  <si>
    <t>6,000～7,999</t>
    <phoneticPr fontId="15"/>
  </si>
  <si>
    <t>8,000～9,999</t>
    <phoneticPr fontId="15"/>
  </si>
  <si>
    <t>10,000～11,999</t>
    <phoneticPr fontId="15"/>
  </si>
  <si>
    <t>12,000～16,999</t>
    <phoneticPr fontId="15"/>
  </si>
  <si>
    <t>より正確に燃料使用量を求めるには、関数式に値を代入して原単位を求めてください。</t>
    <phoneticPr fontId="15"/>
  </si>
  <si>
    <t>注２：</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</si>
  <si>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</si>
  <si>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注３：</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</si>
  <si>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</si>
  <si>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注４：</t>
    <phoneticPr fontId="15"/>
  </si>
  <si>
    <t>CNG車及びハイブリッド車の数値については今後の検討課題です。</t>
    <phoneticPr fontId="15"/>
  </si>
  <si>
    <t>今後の国のガイドライン（ロジスティクス分野におけるCO2排出量算定方法共同ガイドライン）や業界の設定値を参考にしてください。</t>
    <phoneticPr fontId="15"/>
  </si>
  <si>
    <t>平成18年経済産業省告示第66号「貨物輸送事業者に行わせる貨物の輸送に係るエネルギーの使用量の算定の方法」より作成</t>
    <phoneticPr fontId="15"/>
  </si>
  <si>
    <t>IDEA ｺｰﾄﾞ</t>
    <phoneticPr fontId="2"/>
  </si>
  <si>
    <t>素材名</t>
    <rPh sb="0" eb="3">
      <t>ソザイメイ</t>
    </rPh>
    <phoneticPr fontId="2"/>
  </si>
  <si>
    <t>原料製造</t>
    <phoneticPr fontId="2"/>
  </si>
  <si>
    <t>焼　却</t>
  </si>
  <si>
    <t>発電</t>
    <rPh sb="0" eb="2">
      <t>ハツデン</t>
    </rPh>
    <phoneticPr fontId="2"/>
  </si>
  <si>
    <t>kJ/kg</t>
    <phoneticPr fontId="2"/>
  </si>
  <si>
    <t>IDEA</t>
    <phoneticPr fontId="2"/>
  </si>
  <si>
    <r>
      <rPr>
        <sz val="10"/>
        <color indexed="8"/>
        <rFont val="ＭＳ Ｐゴシック"/>
        <family val="3"/>
        <charset val="128"/>
      </rPr>
      <t>単位</t>
    </r>
    <rPh sb="0" eb="2">
      <t>タンイ</t>
    </rPh>
    <phoneticPr fontId="15"/>
  </si>
  <si>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</si>
  <si>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</si>
  <si>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</si>
  <si>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</si>
  <si>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</si>
  <si>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</si>
  <si>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</si>
  <si>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</si>
  <si>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</si>
  <si>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</si>
  <si>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</si>
  <si>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38"/>
  </si>
  <si>
    <t>MJ</t>
    <phoneticPr fontId="38"/>
  </si>
  <si>
    <t>廃棄プラスチックのCO2</t>
    <phoneticPr fontId="38"/>
  </si>
  <si>
    <t>t</t>
    <phoneticPr fontId="38"/>
  </si>
  <si>
    <t>トンキロに関する排出原単位については、IDEAに掲載されている数値を用いることもできます。</t>
    <phoneticPr fontId="2"/>
  </si>
  <si>
    <t>最大積載量別と積載率の輸送トンキロからCO2排出量を算定します。</t>
    <phoneticPr fontId="2"/>
  </si>
  <si>
    <t>再生可能素材を製造するに必要な電力量の入力</t>
    <rPh sb="0" eb="4">
      <t>サイセイカノウ</t>
    </rPh>
    <rPh sb="4" eb="6">
      <t>ソザイ</t>
    </rPh>
    <rPh sb="7" eb="9">
      <t>セイゾウ</t>
    </rPh>
    <rPh sb="12" eb="14">
      <t>ヒツヨウ</t>
    </rPh>
    <rPh sb="15" eb="18">
      <t>デンリョクリョウ</t>
    </rPh>
    <rPh sb="19" eb="21">
      <t>ニュウリョク</t>
    </rPh>
    <phoneticPr fontId="2"/>
  </si>
  <si>
    <t>埋立</t>
    <phoneticPr fontId="2"/>
  </si>
  <si>
    <t>埋立</t>
    <rPh sb="0" eb="1">
      <t>タチ</t>
    </rPh>
    <phoneticPr fontId="30"/>
  </si>
  <si>
    <t>活動量（ｔ）</t>
    <rPh sb="0" eb="3">
      <t>カツドウリョウ</t>
    </rPh>
    <phoneticPr fontId="30"/>
  </si>
  <si>
    <t>中継</t>
    <rPh sb="0" eb="2">
      <t>チュウケイ</t>
    </rPh>
    <phoneticPr fontId="30"/>
  </si>
  <si>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</si>
  <si>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</si>
  <si>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</si>
  <si>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</si>
  <si>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</si>
  <si>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太陽光パネルから再生される素材名及び素材量の算出</t>
    <rPh sb="0" eb="3">
      <t>タイヨウコウ</t>
    </rPh>
    <rPh sb="8" eb="10">
      <t>サイセイ</t>
    </rPh>
    <rPh sb="13" eb="15">
      <t>ソザイ</t>
    </rPh>
    <rPh sb="15" eb="16">
      <t>ヒンメイ</t>
    </rPh>
    <rPh sb="16" eb="17">
      <t>オヨ</t>
    </rPh>
    <rPh sb="18" eb="20">
      <t>ソザイ</t>
    </rPh>
    <rPh sb="20" eb="21">
      <t>リョウ</t>
    </rPh>
    <rPh sb="22" eb="24">
      <t>サンシュツ</t>
    </rPh>
    <phoneticPr fontId="2"/>
  </si>
  <si>
    <t>太陽光パネルからの再生素材によるCO２削減量集計表</t>
    <rPh sb="0" eb="3">
      <t>タイヨウコウ</t>
    </rPh>
    <rPh sb="9" eb="11">
      <t>サイセイ</t>
    </rPh>
    <rPh sb="11" eb="13">
      <t>ソザイ</t>
    </rPh>
    <rPh sb="19" eb="22">
      <t>サクゲンリョウ</t>
    </rPh>
    <rPh sb="22" eb="25">
      <t>シュウケイヒョウ</t>
    </rPh>
    <phoneticPr fontId="2"/>
  </si>
  <si>
    <t>再生素材を製造するのに必要な電力量の入力</t>
    <rPh sb="0" eb="4">
      <t>サイセイソザイ</t>
    </rPh>
    <rPh sb="5" eb="7">
      <t>セイゾウ</t>
    </rPh>
    <rPh sb="11" eb="13">
      <t>ヒツヨウ</t>
    </rPh>
    <rPh sb="14" eb="17">
      <t>デンリョクリョウ</t>
    </rPh>
    <rPh sb="18" eb="20">
      <t>ニュウリョク</t>
    </rPh>
    <phoneticPr fontId="2"/>
  </si>
  <si>
    <t>製造量の入力</t>
    <rPh sb="0" eb="2">
      <t>セイゾウ</t>
    </rPh>
    <rPh sb="2" eb="3">
      <t>リョウ</t>
    </rPh>
    <rPh sb="4" eb="6">
      <t>ニュウリョク</t>
    </rPh>
    <phoneticPr fontId="2"/>
  </si>
  <si>
    <t>※混合処理の場合は、それぞれの素材に按分して記入して下さい。</t>
    <rPh sb="1" eb="3">
      <t>コンゴウ</t>
    </rPh>
    <rPh sb="3" eb="5">
      <t>ショリ</t>
    </rPh>
    <rPh sb="6" eb="8">
      <t>バアイ</t>
    </rPh>
    <rPh sb="15" eb="17">
      <t>ソザイ</t>
    </rPh>
    <rPh sb="18" eb="20">
      <t>アンブン</t>
    </rPh>
    <rPh sb="22" eb="24">
      <t>キニュウ</t>
    </rPh>
    <rPh sb="26" eb="27">
      <t>クダ</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</si>
  <si>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</si>
  <si>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太陽光パネルリサイクルに係る電力原単位及びCO2排出原単位</t>
    <rPh sb="0" eb="3">
      <t>タイヨウコウ</t>
    </rPh>
    <rPh sb="12" eb="13">
      <t>カカワ</t>
    </rPh>
    <rPh sb="14" eb="16">
      <t>デンリョク</t>
    </rPh>
    <rPh sb="16" eb="19">
      <t>ゲンタンイ</t>
    </rPh>
    <rPh sb="19" eb="20">
      <t>オヨ</t>
    </rPh>
    <rPh sb="24" eb="26">
      <t>ハイシュツ</t>
    </rPh>
    <rPh sb="26" eb="29">
      <t>ゲンタンイ</t>
    </rPh>
    <phoneticPr fontId="2"/>
  </si>
  <si>
    <t>加工工程</t>
    <rPh sb="0" eb="4">
      <t>カコウコウテイ</t>
    </rPh>
    <phoneticPr fontId="2"/>
  </si>
  <si>
    <t xml:space="preserve">入力シート（太陽光パネルリサイクル設備導入事業） </t>
    <rPh sb="0" eb="2">
      <t>ニュウリョク</t>
    </rPh>
    <phoneticPr fontId="2"/>
  </si>
  <si>
    <t xml:space="preserve">電力計算部（太陽光パネルリサイクル設備導入事業） </t>
    <rPh sb="0" eb="2">
      <t>デンリョク</t>
    </rPh>
    <rPh sb="2" eb="5">
      <t>ケイサンブ</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</si>
  <si>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</si>
  <si>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</si>
  <si>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</si>
  <si>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</si>
  <si>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</si>
  <si>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</si>
  <si>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</si>
  <si>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</si>
  <si>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</si>
  <si>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</si>
  <si>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</si>
  <si>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</si>
  <si>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〇</t>
    <phoneticPr fontId="2"/>
  </si>
  <si>
    <t xml:space="preserve">設備機器一覧表（太陽光パネルリサイクル設備導入事業） </t>
    <rPh sb="0" eb="2">
      <t>セツビ</t>
    </rPh>
    <rPh sb="2" eb="4">
      <t>キキ</t>
    </rPh>
    <rPh sb="4" eb="6">
      <t>イチラン</t>
    </rPh>
    <rPh sb="6" eb="7">
      <t>ヒョウ</t>
    </rPh>
    <phoneticPr fontId="15"/>
  </si>
  <si>
    <t>CO2排出量</t>
    <rPh sb="3" eb="6">
      <t>ハイシュツリョウ</t>
    </rPh>
    <phoneticPr fontId="2"/>
  </si>
  <si>
    <t>電気の使用</t>
    <rPh sb="0" eb="2">
      <t>デンキ</t>
    </rPh>
    <rPh sb="3" eb="5">
      <t>シヨウ</t>
    </rPh>
    <phoneticPr fontId="2"/>
  </si>
  <si>
    <t xml:space="preserve">CO2削減量及び費用対効果（太陽光パネルリサイクル設備導入事業） </t>
    <rPh sb="3" eb="5">
      <t>サクゲン</t>
    </rPh>
    <rPh sb="5" eb="6">
      <t>リョウ</t>
    </rPh>
    <rPh sb="6" eb="7">
      <t>オヨ</t>
    </rPh>
    <rPh sb="8" eb="13">
      <t>ヒヨウタイコウカ</t>
    </rPh>
    <phoneticPr fontId="2"/>
  </si>
  <si>
    <t>素材輸送</t>
    <rPh sb="0" eb="2">
      <t>ソザイ</t>
    </rPh>
    <rPh sb="2" eb="4">
      <t>ユソウ</t>
    </rPh>
    <phoneticPr fontId="30"/>
  </si>
  <si>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</si>
  <si>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</si>
  <si>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t>241300000</t>
  </si>
  <si>
    <t>アルミニウム第１次製錬・精製品, 4桁</t>
  </si>
  <si>
    <t>①ガラス繊維</t>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</si>
  <si>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6">
      <t>ジカン</t>
    </rPh>
    <rPh sb="26" eb="27">
      <t>ア</t>
    </rPh>
    <rPh sb="31" eb="33">
      <t>ショリ</t>
    </rPh>
    <rPh sb="32" eb="33">
      <t>リョウ</t>
    </rPh>
    <phoneticPr fontId="2"/>
  </si>
  <si>
    <t>053113214</t>
  </si>
  <si>
    <t>銅鉱石, ブラジル</t>
  </si>
  <si>
    <t>053113229</t>
  </si>
  <si>
    <t>銅鉱石の破砕処理サービス, ブラジル</t>
  </si>
  <si>
    <t>053113244</t>
  </si>
  <si>
    <t>銅鉱石, 精鉱, ブラジル</t>
  </si>
  <si>
    <t>231313210pJPN</t>
  </si>
  <si>
    <t>高純度アルミニウム地金</t>
    <rPh sb="0" eb="3">
      <t>コウジュンド</t>
    </rPh>
    <rPh sb="9" eb="11">
      <t>ジガネ</t>
    </rPh>
    <phoneticPr fontId="2"/>
  </si>
  <si>
    <t>232913000pJPN</t>
  </si>
  <si>
    <t>銅再生地金、銅合金</t>
    <phoneticPr fontId="30"/>
  </si>
  <si>
    <t>232211000pJPN</t>
  </si>
  <si>
    <t>アルミニウム再生地金、アルミニウム合金</t>
    <phoneticPr fontId="30"/>
  </si>
  <si>
    <t>231313000mJPN</t>
  </si>
  <si>
    <t>211711200pJPN</t>
  </si>
  <si>
    <t>ガラス繊維（チョップドストランドマット）</t>
    <phoneticPr fontId="30"/>
  </si>
  <si>
    <t>872100204pJPN</t>
  </si>
  <si>
    <t>使用済み家電の高度中間処理サービス（分解･解体）</t>
    <phoneticPr fontId="30"/>
  </si>
  <si>
    <t>185211000pJPN</t>
  </si>
  <si>
    <t>廃プラスチック製品</t>
    <phoneticPr fontId="30"/>
  </si>
  <si>
    <t>231111000pJPN</t>
  </si>
  <si>
    <t>粗銅</t>
    <phoneticPr fontId="30"/>
  </si>
  <si>
    <t>231112310pJPN</t>
  </si>
  <si>
    <t>銅スライム, 電気銅副生, 純分質量基準</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</si>
  <si>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</si>
  <si>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881612000mJPN</t>
  </si>
  <si>
    <t>882200211mJPN</t>
  </si>
  <si>
    <t>881611000pJPN</t>
  </si>
  <si>
    <t>882511000pJPN</t>
  </si>
  <si>
    <t>361111000pJPN</t>
  </si>
  <si>
    <t>079411000pJPN</t>
  </si>
  <si>
    <t>881811000pJPN</t>
  </si>
  <si>
    <t>①焼却処理サービス, 一般廃棄物</t>
  </si>
  <si>
    <t>①LDPE：低密度ポリエチレン</t>
  </si>
  <si>
    <t>②HDPE：高密度ポリエチレン</t>
  </si>
  <si>
    <t>③PP：ポリプロプレン</t>
  </si>
  <si>
    <t>④PS：ポリスチレン</t>
  </si>
  <si>
    <t>⑦PET：ポリエチレンテレフタレート</t>
  </si>
  <si>
    <t>焼却発電</t>
    <rPh sb="0" eb="2">
      <t>ショウキャク</t>
    </rPh>
    <rPh sb="2" eb="4">
      <t>ハツデン</t>
    </rPh>
    <phoneticPr fontId="31"/>
  </si>
  <si>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</si>
  <si>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</si>
  <si>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補助対象経費支出予定額の入力</t>
    <rPh sb="12" eb="14">
      <t>ニュウリョク</t>
    </rPh>
    <phoneticPr fontId="2"/>
  </si>
  <si>
    <t>441111223pJPN</t>
  </si>
  <si>
    <t>441111225pJPN</t>
  </si>
  <si>
    <t>441111233pJPN</t>
  </si>
  <si>
    <t>441111235pJPN</t>
  </si>
  <si>
    <t>https://ghg-santeikohyo.env.go.jp/files/calc/r05_coefficient.pdf</t>
    <phoneticPr fontId="2"/>
  </si>
  <si>
    <t>製品製造</t>
    <rPh sb="0" eb="4">
      <t>セイヒンセイゾウ</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</si>
  <si>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</si>
  <si>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</si>
  <si>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</si>
  <si>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38"/>
  </si>
  <si>
    <t>⑪焼却</t>
    <rPh sb="1" eb="3">
      <t>ショウキャク</t>
    </rPh>
    <phoneticPr fontId="30"/>
  </si>
  <si>
    <t>⑫発電</t>
    <rPh sb="1" eb="3">
      <t>ハツデン</t>
    </rPh>
    <phoneticPr fontId="30"/>
  </si>
  <si>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</si>
  <si>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</si>
  <si>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②アルミニウム</t>
    <phoneticPr fontId="2"/>
  </si>
  <si>
    <t>③銅</t>
    <rPh sb="1" eb="2">
      <t>ドウ</t>
    </rPh>
    <phoneticPr fontId="2"/>
  </si>
  <si>
    <t>①焼却・発電（その他プラ）</t>
    <rPh sb="4" eb="6">
      <t>ハツデン</t>
    </rPh>
    <rPh sb="9" eb="10">
      <t>タ</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</si>
  <si>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</si>
  <si>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</si>
  <si>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</si>
  <si>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</si>
  <si>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⑥工業用水道</t>
    <phoneticPr fontId="2"/>
  </si>
  <si>
    <t>⑦下水道処理サービス</t>
    <phoneticPr fontId="2"/>
  </si>
  <si>
    <t>⑧工業排水処理サービス</t>
    <phoneticPr fontId="2"/>
  </si>
  <si>
    <t>⑨廃棄パネル中継処理</t>
    <rPh sb="1" eb="3">
      <t>ハイキ</t>
    </rPh>
    <rPh sb="6" eb="8">
      <t>チュウケイ</t>
    </rPh>
    <rPh sb="8" eb="10">
      <t>ショリ</t>
    </rPh>
    <phoneticPr fontId="38"/>
  </si>
  <si>
    <t>電力（令和５年度排出量算定係数）</t>
    <phoneticPr fontId="2"/>
  </si>
  <si>
    <t>④銀再生地金、銀合金</t>
    <phoneticPr fontId="2"/>
  </si>
  <si>
    <t>⑤金</t>
    <rPh sb="1" eb="2">
      <t>キン</t>
    </rPh>
    <phoneticPr fontId="2"/>
  </si>
  <si>
    <t>231912000pJPN</t>
  </si>
  <si>
    <t>金地金</t>
  </si>
  <si>
    <t>231912302pJPN</t>
  </si>
  <si>
    <t>金 (電解)</t>
  </si>
  <si>
    <t>231919242pUSA</t>
  </si>
  <si>
    <t>金属タンタル,インゴット</t>
  </si>
  <si>
    <t>051119208pAUS</t>
  </si>
  <si>
    <t>タンタライト鉱石, 精鉱</t>
  </si>
  <si>
    <t>162949244pJPN</t>
  </si>
  <si>
    <t>ふっ化タンタル酸カリウム</t>
  </si>
  <si>
    <t>051116000mJPN</t>
  </si>
  <si>
    <t>銅鉱石, 精鉱, 輸入品</t>
  </si>
  <si>
    <t>Ta</t>
    <phoneticPr fontId="2"/>
  </si>
  <si>
    <t>Au</t>
    <phoneticPr fontId="2"/>
  </si>
  <si>
    <t>Cu</t>
    <phoneticPr fontId="2"/>
  </si>
  <si>
    <t>Al</t>
    <phoneticPr fontId="2"/>
  </si>
  <si>
    <t>⑦Ru：ルテニウム</t>
    <phoneticPr fontId="2"/>
  </si>
  <si>
    <t>⑧Ta：タンタル</t>
    <phoneticPr fontId="2"/>
  </si>
  <si>
    <t>⑥Pd：パラジウム</t>
    <phoneticPr fontId="2"/>
  </si>
  <si>
    <t>051111299mJPN</t>
  </si>
  <si>
    <r>
      <rPr>
        <sz val="11"/>
        <color theme="1"/>
        <rFont val="ＭＳ ゴシック"/>
        <family val="3"/>
        <charset val="128"/>
      </rPr>
      <t>貴金属鉱石</t>
    </r>
    <r>
      <rPr>
        <sz val="11"/>
        <color theme="1"/>
        <rFont val="Arial"/>
        <family val="2"/>
      </rPr>
      <t xml:space="preserve"> (</t>
    </r>
    <r>
      <rPr>
        <sz val="11"/>
        <color theme="1"/>
        <rFont val="ＭＳ ゴシック"/>
        <family val="3"/>
        <charset val="128"/>
      </rPr>
      <t>金銀鉱</t>
    </r>
    <r>
      <rPr>
        <sz val="11"/>
        <color theme="1"/>
        <rFont val="Arial"/>
        <family val="2"/>
      </rPr>
      <t xml:space="preserve">), </t>
    </r>
    <r>
      <rPr>
        <sz val="11"/>
        <color theme="1"/>
        <rFont val="ＭＳ ゴシック"/>
        <family val="3"/>
        <charset val="128"/>
      </rPr>
      <t>輸入品</t>
    </r>
    <r>
      <rPr>
        <sz val="11"/>
        <color theme="1"/>
        <rFont val="Arial"/>
        <family val="2"/>
      </rPr>
      <t xml:space="preserve">, </t>
    </r>
    <r>
      <rPr>
        <sz val="11"/>
        <color theme="1"/>
        <rFont val="ＭＳ ゴシック"/>
        <family val="3"/>
        <charset val="128"/>
      </rPr>
      <t>精鉱</t>
    </r>
    <phoneticPr fontId="2"/>
  </si>
  <si>
    <t>銀</t>
    <rPh sb="0" eb="1">
      <t>ギン</t>
    </rPh>
    <phoneticPr fontId="2"/>
  </si>
  <si>
    <t>鉱石50ｔから1ｋｇ</t>
    <rPh sb="0" eb="2">
      <t>コウセキ</t>
    </rPh>
    <phoneticPr fontId="2"/>
  </si>
  <si>
    <t>金:銀＝1：15</t>
    <rPh sb="0" eb="1">
      <t>キン</t>
    </rPh>
    <rPh sb="2" eb="3">
      <t>ギン</t>
    </rPh>
    <phoneticPr fontId="2"/>
  </si>
  <si>
    <t>Pd、Ru</t>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</si>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</sst>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quot; 円&quot;"/>
    <numFmt numFmtId="208" formatCode="#,##0&quot;ｔ-CO2&quot;"/>
    <numFmt numFmtId="209" formatCode="#,###&quot; 円／t-CO2&quot;"/>
    <numFmt numFmtId="210" formatCode="#,###&quot; 円/t&quot;"/>
    <numFmt numFmtId="211" formatCode="0.0000_);[Red]\(0.0000\)"/>
    <numFmt numFmtId="212" formatCode="#,##0_ ;[Red]\-#,##0\ "/>
    <numFmt numFmtId="213" formatCode="0.0"/>
    <numFmt numFmtId="214" formatCode="#,##0.000;[Red]\-#,##0.000"/>
    <numFmt numFmtId="215" formatCode="0.00.E+00"/>
  </numFmts>
  <fonts count="80"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1"/>
      <color theme="1"/>
      <name val="Arial"/>
      <family val="2"/>
    </font>
    <font>
      <sz val="11"/>
      <color theme="1"/>
      <name val="ＭＳ ゴシック"/>
      <family val="3"/>
      <charset val="128"/>
    </font>
    <font>
      <sz val="11"/>
      <color theme="1"/>
      <name val="MS UI Gothic"/>
      <family val="3"/>
      <charset val="128"/>
    </font>
    <font>
      <sz val="18"/>
      <color theme="1"/>
      <name val="MS UI Gothic"/>
      <family val="3"/>
      <charset val="128"/>
    </font>
    <font>
      <b/>
      <sz val="12"/>
      <color theme="1"/>
      <name val="ＭＳ ゴシック"/>
      <family val="3"/>
      <charset val="128"/>
    </font>
    <font>
      <b/>
      <sz val="16"/>
      <color theme="1"/>
      <name val="ＭＳ ゴシック"/>
      <family val="3"/>
      <charset val="128"/>
    </font>
    <font>
      <b/>
      <sz val="14"/>
      <color theme="1"/>
      <name val="ＭＳ ゴシック"/>
      <family val="3"/>
      <charset val="128"/>
    </font>
    <font>
      <sz val="18"/>
      <color theme="1"/>
      <name val="ＭＳ ゴシック"/>
      <family val="3"/>
      <charset val="128"/>
    </font>
    <font>
      <b/>
      <sz val="10"/>
      <color theme="1"/>
      <name val="ＭＳ ゴシック"/>
      <family val="3"/>
      <charset val="128"/>
    </font>
    <font>
      <sz val="10"/>
      <color theme="1"/>
      <name val="ＭＳ ゴシック"/>
      <family val="3"/>
      <charset val="128"/>
    </font>
    <font>
      <sz val="12"/>
      <color rgb="FFFF0000"/>
      <name val="ＭＳ ゴシック"/>
      <family val="3"/>
      <charset val="128"/>
    </font>
    <font>
      <b/>
      <sz val="11"/>
      <color rgb="FFFF0000"/>
      <name val="ＭＳ ゴシック"/>
      <family val="3"/>
      <charset val="128"/>
    </font>
    <font>
      <sz val="11"/>
      <color theme="1"/>
      <name val="Arial"/>
      <family val="3"/>
      <charset val="128"/>
    </font>
    <font>
      <b/>
      <sz val="12"/>
      <color theme="1"/>
      <name val="ＭＳ Ｐゴシック"/>
      <family val="3"/>
      <charset val="128"/>
    </font>
    <font>
      <sz val="18"/>
      <color theme="1"/>
      <name val="ＭＳ Ｐゴシック"/>
      <family val="3"/>
      <charset val="128"/>
      <scheme val="minor"/>
    </font>
    <font>
      <sz val="12"/>
      <color rgb="FF000000"/>
      <name val="ＭＳ ゴシック"/>
      <family val="3"/>
      <charset val="128"/>
    </font>
    <font>
      <sz val="12"/>
      <name val="ＭＳ ゴシック"/>
      <family val="3"/>
      <charset val="128"/>
    </font>
    <font>
      <sz val="8"/>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7">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xf numFmtId="0" fontId="16" fillId="0" borderId="0">
      <alignment vertical="center"/>
    </xf>
  </cellStyleXfs>
  <cellXfs count="649">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8" fillId="0" borderId="0" xfId="3" applyFont="1">
      <alignment vertical="center"/>
    </xf>
    <xf numFmtId="0" fontId="16" fillId="0" borderId="0" xfId="3">
      <alignment vertical="center"/>
    </xf>
    <xf numFmtId="0" fontId="16" fillId="0" borderId="0" xfId="3" applyAlignment="1">
      <alignment horizontal="right"/>
    </xf>
    <xf numFmtId="0" fontId="27"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29"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29" fillId="0" borderId="0" xfId="0" applyFont="1">
      <alignment vertical="center"/>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2" fillId="0" borderId="0" xfId="0" applyFont="1">
      <alignment vertical="center"/>
    </xf>
    <xf numFmtId="0" fontId="7" fillId="0" borderId="0" xfId="0" applyFont="1">
      <alignment vertical="center"/>
    </xf>
    <xf numFmtId="0" fontId="0" fillId="0" borderId="3"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81" fontId="12" fillId="0" borderId="7" xfId="0" applyNumberFormat="1" applyFont="1" applyBorder="1" applyAlignment="1" applyProtection="1">
      <alignment horizontal="right" vertical="center" indent="1"/>
      <protection locked="0"/>
    </xf>
    <xf numFmtId="0" fontId="16" fillId="0" borderId="1" xfId="3" applyBorder="1" applyAlignment="1">
      <alignment horizontal="center" vertical="center" wrapText="1"/>
    </xf>
    <xf numFmtId="184" fontId="3" fillId="0" borderId="0" xfId="3" applyNumberFormat="1" applyFont="1" applyAlignment="1">
      <alignment horizontal="center" vertical="center"/>
    </xf>
    <xf numFmtId="0" fontId="16" fillId="0" borderId="0" xfId="3" applyAlignment="1">
      <alignment vertical="center" wrapText="1"/>
    </xf>
    <xf numFmtId="0" fontId="35" fillId="0" borderId="0" xfId="3" applyFont="1" applyAlignment="1">
      <alignment horizontal="left" vertical="center" wrapText="1"/>
    </xf>
    <xf numFmtId="38" fontId="3" fillId="3" borderId="1" xfId="5" applyFont="1" applyFill="1" applyBorder="1" applyAlignment="1">
      <alignment horizontal="center" vertical="center"/>
    </xf>
    <xf numFmtId="0" fontId="17"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5" fillId="0" borderId="1" xfId="3" applyFont="1" applyBorder="1" applyAlignment="1">
      <alignment horizontal="left" vertical="center" wrapText="1"/>
    </xf>
    <xf numFmtId="0" fontId="16" fillId="0" borderId="0" xfId="3" applyAlignment="1">
      <alignment horizontal="left" vertical="center"/>
    </xf>
    <xf numFmtId="0" fontId="35"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35" fillId="0" borderId="1" xfId="3" applyFont="1" applyBorder="1" applyAlignment="1">
      <alignment horizontal="center" vertical="center"/>
    </xf>
    <xf numFmtId="185" fontId="36" fillId="0" borderId="0" xfId="3" applyNumberFormat="1" applyFont="1">
      <alignment vertical="center"/>
    </xf>
    <xf numFmtId="0" fontId="35" fillId="0" borderId="2" xfId="3" applyFont="1" applyBorder="1">
      <alignment vertical="center"/>
    </xf>
    <xf numFmtId="0" fontId="35" fillId="0" borderId="6" xfId="3" applyFont="1" applyBorder="1">
      <alignment vertical="center"/>
    </xf>
    <xf numFmtId="0" fontId="37"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35"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39"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35" fillId="0" borderId="1" xfId="7" applyFont="1" applyBorder="1" applyAlignment="1">
      <alignment horizontal="center" vertical="center"/>
    </xf>
    <xf numFmtId="0" fontId="16" fillId="0" borderId="0" xfId="7" applyAlignment="1">
      <alignment horizontal="center" vertical="center"/>
    </xf>
    <xf numFmtId="2" fontId="16" fillId="0" borderId="1" xfId="3" applyNumberFormat="1" applyBorder="1">
      <alignment vertical="center"/>
    </xf>
    <xf numFmtId="0" fontId="35" fillId="0" borderId="1" xfId="7" applyFont="1" applyBorder="1" applyAlignment="1">
      <alignment horizontal="justify" vertical="center"/>
    </xf>
    <xf numFmtId="0" fontId="35"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188" fontId="11" fillId="0" borderId="12" xfId="0" applyNumberFormat="1" applyFont="1" applyBorder="1">
      <alignmen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1"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1"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1"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46"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47"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48" fillId="0" borderId="13" xfId="0" applyNumberFormat="1" applyFont="1" applyBorder="1">
      <alignment vertical="center"/>
    </xf>
    <xf numFmtId="193" fontId="0" fillId="0" borderId="12" xfId="0" applyNumberFormat="1" applyBorder="1">
      <alignment vertical="center"/>
    </xf>
    <xf numFmtId="0" fontId="49"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0" fontId="16" fillId="0" borderId="5" xfId="3" applyBorder="1">
      <alignment vertical="center"/>
    </xf>
    <xf numFmtId="0" fontId="0" fillId="0" borderId="0" xfId="0" applyAlignment="1">
      <alignment horizontal="left" vertical="center" wrapText="1"/>
    </xf>
    <xf numFmtId="0" fontId="29" fillId="0" borderId="0" xfId="3" applyFont="1" applyAlignment="1">
      <alignment horizontal="center" vertical="center"/>
    </xf>
    <xf numFmtId="0" fontId="16" fillId="0" borderId="31" xfId="3" applyBorder="1">
      <alignment vertical="center"/>
    </xf>
    <xf numFmtId="190" fontId="16" fillId="0" borderId="89" xfId="2" applyNumberFormat="1" applyBorder="1">
      <alignment vertical="center"/>
    </xf>
    <xf numFmtId="191" fontId="16" fillId="0" borderId="90" xfId="3" applyNumberFormat="1" applyBorder="1" applyAlignment="1">
      <alignment horizontal="center" vertical="center"/>
    </xf>
    <xf numFmtId="192" fontId="16" fillId="0" borderId="90"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48" fillId="0" borderId="17" xfId="0" applyNumberFormat="1" applyFont="1" applyBorder="1">
      <alignment vertical="center"/>
    </xf>
    <xf numFmtId="190" fontId="16" fillId="0" borderId="91" xfId="2" applyNumberFormat="1" applyBorder="1">
      <alignment vertical="center"/>
    </xf>
    <xf numFmtId="191" fontId="16" fillId="0" borderId="92" xfId="3" applyNumberFormat="1" applyBorder="1" applyAlignment="1">
      <alignment horizontal="center" vertical="center"/>
    </xf>
    <xf numFmtId="192" fontId="16" fillId="0" borderId="92"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51" fillId="0" borderId="77" xfId="0" applyFont="1" applyBorder="1" applyAlignment="1">
      <alignment horizontal="center" vertical="center" wrapText="1"/>
    </xf>
    <xf numFmtId="0" fontId="0" fillId="0" borderId="3" xfId="0" applyBorder="1" applyAlignment="1" applyProtection="1">
      <alignment horizontal="center" vertical="center"/>
      <protection locked="0"/>
    </xf>
    <xf numFmtId="0" fontId="53" fillId="0" borderId="0" xfId="13" applyFont="1">
      <alignment vertical="center"/>
    </xf>
    <xf numFmtId="196" fontId="16" fillId="0" borderId="12" xfId="3" applyNumberFormat="1" applyBorder="1">
      <alignment vertical="center"/>
    </xf>
    <xf numFmtId="38" fontId="49"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1" fillId="0" borderId="4" xfId="3" applyFont="1" applyBorder="1" applyAlignment="1">
      <alignment horizontal="center" vertical="center" wrapText="1"/>
    </xf>
    <xf numFmtId="0" fontId="54" fillId="0" borderId="0" xfId="3" applyFont="1">
      <alignment vertical="center"/>
    </xf>
    <xf numFmtId="0" fontId="4" fillId="0" borderId="77" xfId="0" applyFont="1" applyBorder="1" applyAlignment="1">
      <alignment horizontal="center" vertical="center" wrapText="1"/>
    </xf>
    <xf numFmtId="0" fontId="55" fillId="0" borderId="0" xfId="0" applyFont="1" applyAlignment="1">
      <alignment vertical="center" wrapText="1"/>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56"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55"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8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5" fillId="0" borderId="77" xfId="0" applyFont="1" applyBorder="1" applyAlignment="1">
      <alignment vertical="center" wrapText="1"/>
    </xf>
    <xf numFmtId="181" fontId="12" fillId="0" borderId="3" xfId="0" applyNumberFormat="1" applyFont="1" applyBorder="1" applyAlignment="1" applyProtection="1">
      <alignment horizontal="right" vertical="center" indent="1"/>
      <protection locked="0"/>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0" fontId="54" fillId="0" borderId="0" xfId="0" applyFont="1" applyAlignment="1">
      <alignment horizontal="center" vertical="center"/>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50" fillId="0" borderId="0" xfId="3" applyFont="1" applyAlignment="1">
      <alignment horizontal="right"/>
    </xf>
    <xf numFmtId="0" fontId="0" fillId="0" borderId="0" xfId="0" applyAlignment="1">
      <alignment horizontal="left" vertical="center"/>
    </xf>
    <xf numFmtId="0" fontId="14" fillId="0" borderId="0" xfId="15">
      <alignment vertical="center"/>
    </xf>
    <xf numFmtId="0" fontId="14" fillId="0" borderId="95" xfId="15" applyBorder="1">
      <alignment vertical="center"/>
    </xf>
    <xf numFmtId="0" fontId="14" fillId="0" borderId="96" xfId="15" applyBorder="1">
      <alignment vertical="center"/>
    </xf>
    <xf numFmtId="204" fontId="14" fillId="0" borderId="96" xfId="15" applyNumberFormat="1" applyBorder="1">
      <alignment vertical="center"/>
    </xf>
    <xf numFmtId="0" fontId="14" fillId="0" borderId="22" xfId="15" applyBorder="1">
      <alignment vertical="center"/>
    </xf>
    <xf numFmtId="0" fontId="14" fillId="0" borderId="94" xfId="15" applyBorder="1">
      <alignment vertical="center"/>
    </xf>
    <xf numFmtId="0" fontId="14" fillId="0" borderId="1" xfId="15" applyBorder="1">
      <alignment vertical="center"/>
    </xf>
    <xf numFmtId="0" fontId="59" fillId="0" borderId="1" xfId="15" applyFont="1" applyBorder="1" applyAlignment="1">
      <alignment horizontal="center" vertical="center"/>
    </xf>
    <xf numFmtId="0" fontId="14" fillId="0" borderId="32" xfId="15" applyBorder="1">
      <alignment vertical="center"/>
    </xf>
    <xf numFmtId="205" fontId="14" fillId="0" borderId="94"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59" fillId="0" borderId="32" xfId="15" applyFont="1" applyBorder="1" applyAlignment="1">
      <alignment horizontal="center" vertical="center" wrapText="1"/>
    </xf>
    <xf numFmtId="0" fontId="59" fillId="0" borderId="32" xfId="15" applyFont="1" applyBorder="1" applyAlignment="1">
      <alignment horizontal="center" vertical="center"/>
    </xf>
    <xf numFmtId="205" fontId="14" fillId="0" borderId="97" xfId="15" applyNumberFormat="1" applyBorder="1">
      <alignment vertical="center"/>
    </xf>
    <xf numFmtId="0" fontId="59" fillId="0" borderId="3" xfId="15" applyFont="1" applyBorder="1" applyAlignment="1">
      <alignment horizontal="center" vertical="center"/>
    </xf>
    <xf numFmtId="204" fontId="59" fillId="0" borderId="1" xfId="15" applyNumberFormat="1" applyFont="1" applyBorder="1" applyAlignment="1">
      <alignment horizontal="center" vertical="center"/>
    </xf>
    <xf numFmtId="205" fontId="59" fillId="0" borderId="94" xfId="15" applyNumberFormat="1" applyFont="1" applyBorder="1">
      <alignment vertical="center"/>
    </xf>
    <xf numFmtId="0" fontId="59" fillId="0" borderId="1" xfId="15" applyFont="1" applyBorder="1">
      <alignment vertical="center"/>
    </xf>
    <xf numFmtId="0" fontId="59" fillId="0" borderId="0" xfId="15" applyFont="1">
      <alignment vertical="center"/>
    </xf>
    <xf numFmtId="205" fontId="59" fillId="0" borderId="94" xfId="15" applyNumberFormat="1" applyFont="1" applyBorder="1" applyAlignment="1">
      <alignment vertical="center" shrinkToFit="1"/>
    </xf>
    <xf numFmtId="0" fontId="59" fillId="0" borderId="1" xfId="15" applyFont="1" applyBorder="1" applyAlignment="1">
      <alignment horizontal="left" vertical="center"/>
    </xf>
    <xf numFmtId="0" fontId="60" fillId="0" borderId="1" xfId="15" applyFont="1" applyBorder="1" applyAlignment="1">
      <alignment horizontal="center" vertical="center"/>
    </xf>
    <xf numFmtId="0" fontId="59" fillId="0" borderId="0" xfId="15" applyFont="1" applyAlignment="1">
      <alignment horizontal="center" vertical="center"/>
    </xf>
    <xf numFmtId="0" fontId="47" fillId="0" borderId="0" xfId="15" applyFont="1">
      <alignment vertical="center"/>
    </xf>
    <xf numFmtId="197" fontId="16" fillId="0" borderId="0" xfId="3" applyNumberFormat="1" applyAlignment="1">
      <alignment horizontal="center" vertical="center"/>
    </xf>
    <xf numFmtId="0" fontId="0" fillId="0" borderId="4" xfId="0" applyBorder="1" applyAlignment="1">
      <alignment horizontal="center" vertical="center"/>
    </xf>
    <xf numFmtId="190" fontId="16" fillId="0" borderId="69" xfId="2" applyNumberFormat="1" applyBorder="1">
      <alignment vertical="center"/>
    </xf>
    <xf numFmtId="191" fontId="16" fillId="0" borderId="21" xfId="3" applyNumberFormat="1" applyBorder="1" applyAlignment="1">
      <alignment horizontal="center" vertical="center"/>
    </xf>
    <xf numFmtId="192" fontId="16" fillId="0" borderId="21" xfId="3" applyNumberFormat="1" applyBorder="1">
      <alignment vertical="center"/>
    </xf>
    <xf numFmtId="193" fontId="0" fillId="0" borderId="47" xfId="0" applyNumberFormat="1" applyBorder="1">
      <alignment vertical="center"/>
    </xf>
    <xf numFmtId="190" fontId="16" fillId="0" borderId="12" xfId="2" applyNumberFormat="1" applyBorder="1">
      <alignment vertical="center"/>
    </xf>
    <xf numFmtId="191" fontId="16" fillId="0" borderId="12" xfId="3" applyNumberFormat="1" applyBorder="1" applyAlignment="1">
      <alignment horizontal="center" vertical="center"/>
    </xf>
    <xf numFmtId="192" fontId="16" fillId="0" borderId="12" xfId="3" applyNumberFormat="1" applyBorder="1">
      <alignment vertical="center"/>
    </xf>
    <xf numFmtId="193" fontId="48" fillId="0" borderId="12" xfId="0" applyNumberFormat="1" applyFont="1" applyBorder="1">
      <alignment vertical="center"/>
    </xf>
    <xf numFmtId="0" fontId="16" fillId="0" borderId="47" xfId="3" applyBorder="1">
      <alignment vertical="center"/>
    </xf>
    <xf numFmtId="0" fontId="0" fillId="0" borderId="0" xfId="0" applyAlignment="1">
      <alignment vertical="center" wrapText="1"/>
    </xf>
    <xf numFmtId="0" fontId="27" fillId="0" borderId="0" xfId="0" applyFont="1">
      <alignment vertical="center"/>
    </xf>
    <xf numFmtId="0" fontId="16" fillId="0" borderId="104" xfId="3" applyBorder="1">
      <alignment vertical="center"/>
    </xf>
    <xf numFmtId="0" fontId="50" fillId="0" borderId="105" xfId="3" applyFont="1" applyBorder="1">
      <alignment vertical="center"/>
    </xf>
    <xf numFmtId="0" fontId="16" fillId="0" borderId="105" xfId="3" applyBorder="1">
      <alignment vertical="center"/>
    </xf>
    <xf numFmtId="0" fontId="16" fillId="0" borderId="106" xfId="3" applyBorder="1">
      <alignment vertical="center"/>
    </xf>
    <xf numFmtId="0" fontId="50" fillId="0" borderId="106" xfId="3" applyFont="1" applyBorder="1">
      <alignment vertical="center"/>
    </xf>
    <xf numFmtId="0" fontId="63" fillId="0" borderId="0" xfId="0" applyFont="1">
      <alignment vertical="center"/>
    </xf>
    <xf numFmtId="0" fontId="64" fillId="0" borderId="0" xfId="0" applyFont="1">
      <alignment vertical="center"/>
    </xf>
    <xf numFmtId="0" fontId="12" fillId="0" borderId="0" xfId="0" applyFont="1">
      <alignment vertical="center"/>
    </xf>
    <xf numFmtId="0" fontId="62" fillId="0" borderId="0" xfId="0" applyFont="1">
      <alignment vertical="center"/>
    </xf>
    <xf numFmtId="0" fontId="33" fillId="0" borderId="0" xfId="0" applyFont="1">
      <alignment vertical="center"/>
    </xf>
    <xf numFmtId="0" fontId="62" fillId="0" borderId="1" xfId="0" applyFont="1" applyBorder="1" applyAlignment="1">
      <alignment vertical="center" wrapText="1"/>
    </xf>
    <xf numFmtId="178" fontId="67" fillId="0" borderId="0" xfId="0" applyNumberFormat="1" applyFont="1" applyAlignment="1">
      <alignment horizontal="right" vertical="center" indent="1"/>
    </xf>
    <xf numFmtId="0" fontId="68" fillId="0" borderId="0" xfId="0" applyFont="1">
      <alignment vertical="center"/>
    </xf>
    <xf numFmtId="0" fontId="14" fillId="0" borderId="0" xfId="15" applyAlignment="1">
      <alignment horizontal="right" vertical="center"/>
    </xf>
    <xf numFmtId="0" fontId="59" fillId="0" borderId="49" xfId="15" applyFont="1" applyBorder="1" applyAlignment="1">
      <alignment horizontal="center" vertical="center" wrapText="1"/>
    </xf>
    <xf numFmtId="0" fontId="14" fillId="0" borderId="3" xfId="15" applyBorder="1">
      <alignment vertical="center"/>
    </xf>
    <xf numFmtId="0" fontId="14" fillId="0" borderId="3" xfId="15" applyBorder="1" applyAlignment="1">
      <alignment horizontal="center" vertical="center"/>
    </xf>
    <xf numFmtId="204" fontId="14" fillId="0" borderId="3" xfId="15" applyNumberFormat="1" applyBorder="1" applyAlignment="1">
      <alignment horizontal="center" vertical="center"/>
    </xf>
    <xf numFmtId="0" fontId="12" fillId="0" borderId="0" xfId="0" applyFont="1" applyAlignment="1">
      <alignment horizontal="center" vertical="center"/>
    </xf>
    <xf numFmtId="0" fontId="33" fillId="0" borderId="1" xfId="0" applyFont="1" applyBorder="1">
      <alignment vertical="center"/>
    </xf>
    <xf numFmtId="0" fontId="7" fillId="0" borderId="0" xfId="0" applyFont="1" applyAlignment="1">
      <alignment horizontal="center" vertical="center"/>
    </xf>
    <xf numFmtId="0" fontId="6" fillId="0" borderId="0" xfId="0" applyFont="1">
      <alignment vertical="center"/>
    </xf>
    <xf numFmtId="49" fontId="61" fillId="0" borderId="1" xfId="0" applyNumberFormat="1" applyFont="1" applyBorder="1">
      <alignment vertical="center"/>
    </xf>
    <xf numFmtId="0" fontId="35" fillId="0" borderId="1" xfId="0" applyFont="1" applyBorder="1" applyAlignment="1">
      <alignment horizontal="justify" vertical="center"/>
    </xf>
    <xf numFmtId="182" fontId="3" fillId="0" borderId="1" xfId="0" applyNumberFormat="1" applyFont="1" applyBorder="1" applyAlignment="1">
      <alignment horizontal="center" vertical="center"/>
    </xf>
    <xf numFmtId="182" fontId="3" fillId="0" borderId="2" xfId="3" applyNumberFormat="1" applyFont="1" applyBorder="1" applyAlignment="1">
      <alignment horizontal="center" vertical="center"/>
    </xf>
    <xf numFmtId="182" fontId="72" fillId="0" borderId="1" xfId="0" applyNumberFormat="1" applyFont="1" applyBorder="1" applyAlignment="1">
      <alignment horizontal="center" vertical="center"/>
    </xf>
    <xf numFmtId="206" fontId="72" fillId="0" borderId="1" xfId="0" applyNumberFormat="1" applyFont="1" applyBorder="1" applyAlignment="1">
      <alignment horizontal="center" vertical="center"/>
    </xf>
    <xf numFmtId="0" fontId="33" fillId="0" borderId="5" xfId="0" applyFont="1" applyBorder="1" applyAlignment="1">
      <alignment horizontal="center" vertical="center"/>
    </xf>
    <xf numFmtId="49" fontId="61" fillId="0" borderId="85" xfId="0" applyNumberFormat="1" applyFont="1" applyBorder="1" applyAlignment="1">
      <alignment vertical="center" shrinkToFit="1"/>
    </xf>
    <xf numFmtId="0" fontId="16" fillId="0" borderId="1" xfId="16" applyBorder="1">
      <alignment vertical="center"/>
    </xf>
    <xf numFmtId="182" fontId="33" fillId="0" borderId="1" xfId="16" applyNumberFormat="1" applyFont="1" applyBorder="1" applyAlignment="1">
      <alignment horizontal="right" vertical="center"/>
    </xf>
    <xf numFmtId="49" fontId="73" fillId="0" borderId="1" xfId="0" applyNumberFormat="1" applyFont="1" applyBorder="1">
      <alignment vertical="center"/>
    </xf>
    <xf numFmtId="178" fontId="67" fillId="0" borderId="3" xfId="0" applyNumberFormat="1" applyFont="1" applyBorder="1" applyAlignment="1">
      <alignment horizontal="right" vertical="center" indent="1"/>
    </xf>
    <xf numFmtId="0" fontId="33" fillId="0" borderId="1" xfId="0" applyFont="1" applyBorder="1" applyAlignment="1">
      <alignment horizontal="center" vertical="center"/>
    </xf>
    <xf numFmtId="0" fontId="62" fillId="0" borderId="3" xfId="0" applyFont="1" applyBorder="1" applyAlignment="1" applyProtection="1">
      <alignment horizontal="center" vertical="center"/>
      <protection locked="0"/>
    </xf>
    <xf numFmtId="181" fontId="62" fillId="0" borderId="3" xfId="0" applyNumberFormat="1" applyFont="1" applyBorder="1" applyAlignment="1" applyProtection="1">
      <alignment horizontal="right" vertical="center" indent="1"/>
      <protection locked="0"/>
    </xf>
    <xf numFmtId="0" fontId="62" fillId="0" borderId="1" xfId="0" applyFont="1" applyBorder="1" applyAlignment="1" applyProtection="1">
      <alignment horizontal="center" vertical="center"/>
      <protection locked="0"/>
    </xf>
    <xf numFmtId="0" fontId="62" fillId="0" borderId="103"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62" fillId="0" borderId="5" xfId="0" applyFont="1" applyBorder="1" applyProtection="1">
      <alignment vertical="center"/>
      <protection locked="0"/>
    </xf>
    <xf numFmtId="203" fontId="62" fillId="0" borderId="1" xfId="0" applyNumberFormat="1" applyFont="1" applyBorder="1" applyAlignment="1" applyProtection="1">
      <alignment horizontal="right" vertical="center" indent="1"/>
      <protection locked="0"/>
    </xf>
    <xf numFmtId="202" fontId="62" fillId="0" borderId="1" xfId="0" applyNumberFormat="1" applyFont="1" applyBorder="1" applyAlignment="1" applyProtection="1">
      <alignment horizontal="right" vertical="center" indent="1"/>
      <protection locked="0"/>
    </xf>
    <xf numFmtId="0" fontId="62" fillId="0" borderId="2" xfId="0" applyFont="1" applyBorder="1" applyAlignment="1" applyProtection="1">
      <alignment horizontal="center" vertical="center"/>
      <protection locked="0"/>
    </xf>
    <xf numFmtId="0" fontId="62" fillId="0" borderId="1" xfId="0" applyFont="1" applyBorder="1" applyProtection="1">
      <alignment vertical="center"/>
      <protection locked="0"/>
    </xf>
    <xf numFmtId="202" fontId="62" fillId="0" borderId="3" xfId="0" applyNumberFormat="1" applyFont="1" applyBorder="1" applyAlignment="1" applyProtection="1">
      <alignment horizontal="right" vertical="center" indent="1"/>
      <protection locked="0"/>
    </xf>
    <xf numFmtId="203" fontId="62" fillId="0" borderId="3" xfId="0" applyNumberFormat="1" applyFont="1" applyBorder="1" applyAlignment="1" applyProtection="1">
      <alignment horizontal="right" vertical="center" indent="1"/>
      <protection locked="0"/>
    </xf>
    <xf numFmtId="181" fontId="33" fillId="0" borderId="1" xfId="0" applyNumberFormat="1" applyFont="1" applyBorder="1" applyAlignment="1">
      <alignment horizontal="right" vertical="center" indent="1"/>
    </xf>
    <xf numFmtId="188" fontId="33" fillId="0" borderId="12" xfId="0" applyNumberFormat="1" applyFont="1" applyBorder="1">
      <alignment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4"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3" fontId="4" fillId="0" borderId="1" xfId="3" applyNumberFormat="1" applyFont="1" applyBorder="1">
      <alignment vertical="center"/>
    </xf>
    <xf numFmtId="0" fontId="4" fillId="0" borderId="0" xfId="3" applyFont="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3" fontId="4" fillId="0" borderId="3" xfId="3" applyNumberFormat="1" applyFont="1" applyBorder="1">
      <alignment vertical="center"/>
    </xf>
    <xf numFmtId="49" fontId="4" fillId="0" borderId="5" xfId="1" applyNumberFormat="1" applyFont="1" applyBorder="1" applyAlignment="1">
      <alignment horizontal="right" vertical="center" wrapText="1"/>
    </xf>
    <xf numFmtId="0" fontId="4" fillId="0" borderId="0" xfId="3"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38" fontId="4" fillId="4" borderId="1" xfId="2" applyFont="1" applyFill="1" applyBorder="1" applyAlignment="1">
      <alignment horizontal="right" vertical="center"/>
    </xf>
    <xf numFmtId="195" fontId="4" fillId="0" borderId="1" xfId="3" applyNumberFormat="1" applyFont="1" applyBorder="1">
      <alignment vertical="center"/>
    </xf>
    <xf numFmtId="38" fontId="4" fillId="4" borderId="5" xfId="2" applyFont="1" applyFill="1" applyBorder="1" applyAlignment="1">
      <alignment horizontal="right" vertical="center"/>
    </xf>
    <xf numFmtId="195" fontId="4" fillId="0" borderId="3" xfId="3" applyNumberFormat="1" applyFont="1" applyBorder="1">
      <alignment vertical="center"/>
    </xf>
    <xf numFmtId="0" fontId="4" fillId="0" borderId="77" xfId="3" applyFont="1" applyBorder="1" applyAlignment="1">
      <alignment horizontal="right" vertical="center"/>
    </xf>
    <xf numFmtId="0" fontId="4" fillId="0" borderId="7" xfId="3" applyFont="1" applyBorder="1">
      <alignment vertical="center"/>
    </xf>
    <xf numFmtId="195" fontId="4" fillId="0" borderId="12" xfId="3" applyNumberFormat="1" applyFont="1" applyBorder="1">
      <alignment vertical="center"/>
    </xf>
    <xf numFmtId="49" fontId="4" fillId="0" borderId="0" xfId="1" applyNumberFormat="1" applyFont="1" applyAlignment="1">
      <alignment horizontal="right" vertical="center" wrapText="1"/>
    </xf>
    <xf numFmtId="195" fontId="4" fillId="0" borderId="0" xfId="1" applyNumberFormat="1" applyFont="1" applyAlignment="1">
      <alignment vertical="center" wrapText="1"/>
    </xf>
    <xf numFmtId="0" fontId="34" fillId="0" borderId="5" xfId="0" applyFont="1" applyBorder="1" applyAlignment="1">
      <alignment vertical="center" readingOrder="1"/>
    </xf>
    <xf numFmtId="0" fontId="34" fillId="0" borderId="6" xfId="0" applyFont="1" applyBorder="1" applyAlignment="1">
      <alignment vertical="center" readingOrder="1"/>
    </xf>
    <xf numFmtId="0" fontId="34" fillId="0" borderId="2" xfId="0" applyFont="1" applyBorder="1" applyAlignment="1">
      <alignment vertical="center" readingOrder="1"/>
    </xf>
    <xf numFmtId="0" fontId="74" fillId="0" borderId="0" xfId="13" applyFont="1">
      <alignment vertical="center"/>
    </xf>
    <xf numFmtId="0" fontId="75" fillId="0" borderId="0" xfId="3" applyFont="1">
      <alignment vertical="center"/>
    </xf>
    <xf numFmtId="0" fontId="76" fillId="0" borderId="1" xfId="0" applyFont="1" applyBorder="1" applyAlignment="1">
      <alignment horizontal="center" vertical="center" wrapText="1" readingOrder="1"/>
    </xf>
    <xf numFmtId="38" fontId="77" fillId="0" borderId="1" xfId="4" applyNumberFormat="1" applyFont="1" applyBorder="1" applyAlignment="1">
      <alignment horizontal="center" vertical="center" wrapText="1"/>
    </xf>
    <xf numFmtId="0" fontId="33" fillId="0" borderId="4" xfId="0" applyFont="1" applyBorder="1">
      <alignment vertical="center"/>
    </xf>
    <xf numFmtId="0" fontId="76" fillId="0" borderId="1" xfId="0" applyFont="1" applyBorder="1" applyAlignment="1">
      <alignment vertical="center" wrapText="1" readingOrder="1"/>
    </xf>
    <xf numFmtId="38" fontId="77" fillId="0" borderId="1" xfId="2" applyFont="1" applyBorder="1" applyAlignment="1">
      <alignment horizontal="center" vertical="center" wrapText="1"/>
    </xf>
    <xf numFmtId="38" fontId="33" fillId="0" borderId="1" xfId="2" applyFont="1" applyBorder="1" applyAlignment="1">
      <alignment horizontal="center" vertical="center"/>
    </xf>
    <xf numFmtId="0" fontId="33" fillId="0" borderId="10" xfId="0" applyFont="1" applyBorder="1">
      <alignment vertical="center"/>
    </xf>
    <xf numFmtId="38" fontId="76" fillId="0" borderId="1" xfId="2" applyFont="1" applyBorder="1" applyAlignment="1">
      <alignment horizontal="center" vertical="center" wrapText="1" readingOrder="1"/>
    </xf>
    <xf numFmtId="0" fontId="33" fillId="0" borderId="1" xfId="0" applyFont="1" applyBorder="1" applyAlignment="1">
      <alignment vertical="center" wrapText="1"/>
    </xf>
    <xf numFmtId="38" fontId="58" fillId="0" borderId="1" xfId="2" applyFont="1" applyBorder="1" applyAlignment="1">
      <alignment horizontal="center" vertical="center" wrapText="1" readingOrder="1"/>
    </xf>
    <xf numFmtId="0" fontId="33" fillId="0" borderId="3" xfId="0" applyFont="1" applyBorder="1">
      <alignmen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0" xfId="3" applyFont="1" applyAlignment="1">
      <alignment horizontal="center" vertical="center" shrinkToFit="1"/>
    </xf>
    <xf numFmtId="0" fontId="4" fillId="0" borderId="0" xfId="3"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5" xfId="3" applyFont="1" applyBorder="1" applyAlignment="1">
      <alignment vertical="center" shrinkToFit="1"/>
    </xf>
    <xf numFmtId="0" fontId="4" fillId="0" borderId="86" xfId="0" applyFont="1" applyBorder="1" applyAlignment="1">
      <alignment horizontal="center" vertical="center" shrinkToFit="1"/>
    </xf>
    <xf numFmtId="0" fontId="4" fillId="0" borderId="8" xfId="3" applyFont="1"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4" fillId="0" borderId="4" xfId="3" applyFont="1" applyBorder="1" applyAlignment="1">
      <alignment vertical="center" shrinkToFit="1"/>
    </xf>
    <xf numFmtId="0" fontId="4" fillId="0" borderId="1" xfId="3" applyFont="1" applyBorder="1" applyAlignment="1">
      <alignment vertical="center" shrinkToFit="1"/>
    </xf>
    <xf numFmtId="0" fontId="4" fillId="0" borderId="77" xfId="3" applyFont="1" applyBorder="1" applyAlignment="1">
      <alignment vertical="center" shrinkToFit="1"/>
    </xf>
    <xf numFmtId="0" fontId="4" fillId="0" borderId="5" xfId="1" applyFont="1" applyBorder="1" applyAlignment="1">
      <alignment horizontal="center" vertical="center" shrinkToFit="1"/>
    </xf>
    <xf numFmtId="0" fontId="5" fillId="0" borderId="77" xfId="0" applyFont="1" applyBorder="1" applyAlignment="1">
      <alignment horizontal="center" vertical="center" wrapText="1"/>
    </xf>
    <xf numFmtId="0" fontId="11" fillId="0" borderId="5" xfId="0" applyFont="1" applyBorder="1" applyAlignment="1">
      <alignment horizontal="center" vertical="center"/>
    </xf>
    <xf numFmtId="184" fontId="3" fillId="0" borderId="1" xfId="0" applyNumberFormat="1" applyFont="1" applyBorder="1" applyAlignment="1">
      <alignment horizontal="center" vertical="center"/>
    </xf>
    <xf numFmtId="38" fontId="3" fillId="0" borderId="1" xfId="2" applyFont="1" applyBorder="1" applyAlignment="1">
      <alignment horizontal="center" vertical="center"/>
    </xf>
    <xf numFmtId="187" fontId="3" fillId="0" borderId="1" xfId="2" applyNumberFormat="1" applyFont="1" applyBorder="1" applyAlignment="1">
      <alignment horizontal="center" vertical="center"/>
    </xf>
    <xf numFmtId="211" fontId="33" fillId="0" borderId="1" xfId="16" applyNumberFormat="1" applyFont="1" applyBorder="1" applyAlignment="1">
      <alignment horizontal="right" vertical="center"/>
    </xf>
    <xf numFmtId="2" fontId="36" fillId="0" borderId="0" xfId="3" applyNumberFormat="1" applyFont="1" applyAlignment="1">
      <alignment horizontal="center" vertical="center"/>
    </xf>
    <xf numFmtId="11" fontId="61" fillId="0" borderId="1" xfId="0" applyNumberFormat="1" applyFont="1" applyBorder="1" applyAlignment="1">
      <alignment horizontal="right" vertical="center"/>
    </xf>
    <xf numFmtId="40" fontId="61" fillId="0" borderId="1" xfId="2" applyNumberFormat="1" applyFont="1" applyBorder="1" applyAlignment="1">
      <alignment horizontal="right" vertical="center"/>
    </xf>
    <xf numFmtId="49" fontId="61" fillId="0" borderId="1" xfId="0" applyNumberFormat="1" applyFont="1" applyBorder="1" applyAlignment="1">
      <alignment vertical="center" shrinkToFit="1"/>
    </xf>
    <xf numFmtId="38" fontId="62" fillId="0" borderId="1" xfId="2" applyFont="1" applyBorder="1">
      <alignment vertical="center"/>
    </xf>
    <xf numFmtId="187" fontId="62" fillId="0" borderId="1" xfId="2" applyNumberFormat="1" applyFont="1" applyBorder="1">
      <alignment vertical="center"/>
    </xf>
    <xf numFmtId="212" fontId="36" fillId="0" borderId="0" xfId="3" applyNumberFormat="1" applyFont="1" applyAlignment="1">
      <alignment horizontal="center" vertical="center"/>
    </xf>
    <xf numFmtId="213" fontId="36" fillId="0" borderId="0" xfId="3" applyNumberFormat="1" applyFont="1" applyAlignment="1">
      <alignment horizontal="center" vertical="center"/>
    </xf>
    <xf numFmtId="213" fontId="16" fillId="0" borderId="1" xfId="3" applyNumberFormat="1" applyBorder="1">
      <alignment vertical="center"/>
    </xf>
    <xf numFmtId="0" fontId="36" fillId="0" borderId="0" xfId="3" applyFont="1" applyAlignment="1">
      <alignment horizontal="center" vertical="center"/>
    </xf>
    <xf numFmtId="38" fontId="16" fillId="0" borderId="0" xfId="2" applyAlignment="1">
      <alignment horizontal="center" vertical="center"/>
    </xf>
    <xf numFmtId="213" fontId="16" fillId="0" borderId="0" xfId="3" applyNumberFormat="1" applyAlignment="1">
      <alignment horizontal="center" vertical="center"/>
    </xf>
    <xf numFmtId="38" fontId="36" fillId="0" borderId="0" xfId="2" applyFont="1" applyAlignment="1">
      <alignment horizontal="center" vertical="center"/>
    </xf>
    <xf numFmtId="214" fontId="4" fillId="0" borderId="1" xfId="2" applyNumberFormat="1" applyFont="1" applyBorder="1">
      <alignment vertical="center"/>
    </xf>
    <xf numFmtId="215" fontId="16" fillId="0" borderId="0" xfId="3" applyNumberFormat="1" applyAlignment="1">
      <alignment horizontal="center" vertical="center"/>
    </xf>
    <xf numFmtId="0" fontId="16" fillId="0" borderId="1" xfId="3" applyBorder="1" applyAlignment="1" applyProtection="1">
      <alignment horizontal="center" vertical="center"/>
      <protection locked="0"/>
    </xf>
    <xf numFmtId="0" fontId="62" fillId="0" borderId="1" xfId="3" applyFont="1" applyBorder="1" applyProtection="1">
      <alignment vertical="center"/>
      <protection locked="0"/>
    </xf>
    <xf numFmtId="203" fontId="62" fillId="0" borderId="2" xfId="3" applyNumberFormat="1" applyFont="1" applyBorder="1" applyProtection="1">
      <alignment vertical="center"/>
      <protection locked="0"/>
    </xf>
    <xf numFmtId="202" fontId="62" fillId="0" borderId="1" xfId="3" applyNumberFormat="1" applyFont="1" applyBorder="1" applyProtection="1">
      <alignment vertical="center"/>
      <protection locked="0"/>
    </xf>
    <xf numFmtId="203" fontId="62" fillId="0" borderId="1" xfId="3" applyNumberFormat="1" applyFont="1" applyBorder="1" applyProtection="1">
      <alignment vertical="center"/>
      <protection locked="0"/>
    </xf>
    <xf numFmtId="0" fontId="62" fillId="0" borderId="5" xfId="3" applyFont="1" applyBorder="1" applyProtection="1">
      <alignment vertical="center"/>
      <protection locked="0"/>
    </xf>
    <xf numFmtId="0" fontId="7" fillId="0" borderId="1" xfId="0" applyFont="1" applyBorder="1">
      <alignment vertical="center"/>
    </xf>
    <xf numFmtId="0" fontId="7" fillId="0" borderId="1" xfId="0" applyFont="1" applyBorder="1" applyAlignment="1">
      <alignment horizontal="center" vertical="center"/>
    </xf>
    <xf numFmtId="202" fontId="33" fillId="0" borderId="3" xfId="0" applyNumberFormat="1" applyFont="1" applyBorder="1" applyAlignment="1">
      <alignment horizontal="right" vertical="center" indent="1"/>
    </xf>
    <xf numFmtId="0" fontId="7" fillId="0" borderId="2" xfId="0" applyFont="1" applyBorder="1" applyAlignment="1">
      <alignment horizontal="center" vertical="center"/>
    </xf>
    <xf numFmtId="0" fontId="4" fillId="0" borderId="1" xfId="3" applyFont="1" applyBorder="1" applyAlignment="1" applyProtection="1">
      <alignment horizontal="center" vertical="center" shrinkToFit="1"/>
      <protection locked="0"/>
    </xf>
    <xf numFmtId="0" fontId="4" fillId="0" borderId="1" xfId="1" applyFont="1" applyBorder="1" applyAlignment="1" applyProtection="1">
      <alignment horizontal="left" vertical="center" shrinkToFit="1"/>
      <protection locked="0"/>
    </xf>
    <xf numFmtId="49" fontId="4" fillId="0" borderId="1" xfId="1" applyNumberFormat="1" applyFont="1" applyBorder="1" applyAlignment="1" applyProtection="1">
      <alignment vertical="center" shrinkToFit="1"/>
      <protection locked="0"/>
    </xf>
    <xf numFmtId="194" fontId="19" fillId="5" borderId="1" xfId="2" applyNumberFormat="1" applyFont="1" applyFill="1" applyBorder="1" applyAlignment="1" applyProtection="1">
      <alignment vertical="center" wrapText="1"/>
      <protection locked="0"/>
    </xf>
    <xf numFmtId="9" fontId="19" fillId="5" borderId="1" xfId="6" applyFont="1" applyFill="1" applyBorder="1" applyAlignment="1" applyProtection="1">
      <alignment vertical="center" wrapText="1"/>
      <protection locked="0"/>
    </xf>
    <xf numFmtId="38" fontId="4" fillId="4" borderId="1" xfId="2" applyFont="1" applyFill="1" applyBorder="1" applyProtection="1">
      <alignment vertical="center"/>
      <protection locked="0"/>
    </xf>
    <xf numFmtId="0" fontId="4" fillId="0" borderId="1" xfId="1"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49" fontId="4" fillId="0" borderId="3" xfId="1" applyNumberFormat="1" applyFont="1" applyBorder="1" applyAlignment="1" applyProtection="1">
      <alignment vertical="center" shrinkToFit="1"/>
      <protection locked="0"/>
    </xf>
    <xf numFmtId="194" fontId="19" fillId="5" borderId="3" xfId="2" applyNumberFormat="1" applyFont="1" applyFill="1" applyBorder="1" applyAlignment="1" applyProtection="1">
      <alignment vertical="center" wrapText="1"/>
      <protection locked="0"/>
    </xf>
    <xf numFmtId="9" fontId="19" fillId="5" borderId="3" xfId="6" applyFont="1" applyFill="1" applyBorder="1" applyAlignment="1" applyProtection="1">
      <alignment vertical="center" wrapText="1"/>
      <protection locked="0"/>
    </xf>
    <xf numFmtId="38" fontId="4" fillId="4" borderId="3" xfId="2" applyFont="1" applyFill="1" applyBorder="1" applyProtection="1">
      <alignment vertical="center"/>
      <protection locked="0"/>
    </xf>
    <xf numFmtId="0" fontId="4" fillId="0" borderId="4" xfId="3" applyFont="1" applyBorder="1" applyAlignment="1" applyProtection="1">
      <alignment horizontal="center" vertical="center" shrinkToFit="1"/>
      <protection locked="0"/>
    </xf>
    <xf numFmtId="0" fontId="4" fillId="0" borderId="4" xfId="1" applyFont="1" applyBorder="1" applyAlignment="1" applyProtection="1">
      <alignment horizontal="left" vertical="center" shrinkToFit="1"/>
      <protection locked="0"/>
    </xf>
    <xf numFmtId="49" fontId="4" fillId="0" borderId="4" xfId="1" applyNumberFormat="1" applyFont="1" applyBorder="1" applyAlignment="1" applyProtection="1">
      <alignment vertical="center" shrinkToFit="1"/>
      <protection locked="0"/>
    </xf>
    <xf numFmtId="194" fontId="19" fillId="5" borderId="4" xfId="2" applyNumberFormat="1" applyFont="1" applyFill="1" applyBorder="1" applyAlignment="1" applyProtection="1">
      <alignment vertical="center" wrapText="1"/>
      <protection locked="0"/>
    </xf>
    <xf numFmtId="9" fontId="19" fillId="5" borderId="4" xfId="6" applyFont="1" applyFill="1" applyBorder="1" applyAlignment="1" applyProtection="1">
      <alignment vertical="center" wrapText="1"/>
      <protection locked="0"/>
    </xf>
    <xf numFmtId="38" fontId="4" fillId="4" borderId="4" xfId="2" applyFont="1" applyFill="1" applyBorder="1" applyProtection="1">
      <alignment vertical="center"/>
      <protection locked="0"/>
    </xf>
    <xf numFmtId="0" fontId="4" fillId="0" borderId="1" xfId="0" applyFont="1" applyBorder="1" applyAlignment="1" applyProtection="1">
      <alignment horizontal="center" vertical="center" shrinkToFit="1"/>
      <protection locked="0"/>
    </xf>
    <xf numFmtId="0" fontId="4" fillId="0" borderId="73" xfId="3" applyFont="1" applyBorder="1" applyAlignment="1" applyProtection="1">
      <alignment vertical="center" shrinkToFit="1"/>
      <protection locked="0"/>
    </xf>
    <xf numFmtId="0" fontId="4" fillId="0" borderId="5" xfId="3" applyFont="1" applyBorder="1" applyAlignment="1" applyProtection="1">
      <alignment vertical="center" shrinkToFit="1"/>
      <protection locked="0"/>
    </xf>
    <xf numFmtId="38" fontId="4" fillId="4" borderId="1" xfId="2" applyFont="1" applyFill="1" applyBorder="1" applyAlignment="1" applyProtection="1">
      <alignment horizontal="right" vertical="center"/>
      <protection locked="0"/>
    </xf>
    <xf numFmtId="0" fontId="4" fillId="0" borderId="3" xfId="0" applyFont="1" applyBorder="1" applyAlignment="1" applyProtection="1">
      <alignment horizontal="center" vertical="center" shrinkToFit="1"/>
      <protection locked="0"/>
    </xf>
    <xf numFmtId="0" fontId="4" fillId="0" borderId="73" xfId="0" applyFont="1" applyBorder="1" applyAlignment="1" applyProtection="1">
      <alignment vertical="center" shrinkToFit="1"/>
      <protection locked="0"/>
    </xf>
    <xf numFmtId="38" fontId="4" fillId="4" borderId="5" xfId="2" applyFont="1" applyFill="1" applyBorder="1" applyAlignment="1" applyProtection="1">
      <alignment horizontal="right" vertical="center"/>
      <protection locked="0"/>
    </xf>
    <xf numFmtId="38" fontId="4" fillId="4" borderId="73" xfId="2" applyFont="1" applyFill="1" applyBorder="1" applyAlignment="1" applyProtection="1">
      <alignment horizontal="right" vertical="center"/>
      <protection locked="0"/>
    </xf>
    <xf numFmtId="0" fontId="14" fillId="0" borderId="1" xfId="1" applyBorder="1" applyAlignment="1" applyProtection="1">
      <alignment horizontal="left" vertical="center" shrinkToFit="1"/>
      <protection locked="0"/>
    </xf>
    <xf numFmtId="49" fontId="14" fillId="0" borderId="1" xfId="1" applyNumberFormat="1" applyBorder="1" applyAlignment="1" applyProtection="1">
      <alignment vertical="center" shrinkToFit="1"/>
      <protection locked="0"/>
    </xf>
    <xf numFmtId="38" fontId="4" fillId="4" borderId="3" xfId="2" applyFont="1" applyFill="1" applyBorder="1" applyAlignment="1" applyProtection="1">
      <alignment horizontal="right" vertical="center"/>
      <protection locked="0"/>
    </xf>
    <xf numFmtId="0" fontId="4" fillId="0" borderId="3" xfId="3" applyFont="1" applyBorder="1" applyAlignment="1" applyProtection="1">
      <alignment vertical="center" shrinkToFit="1"/>
      <protection locked="0"/>
    </xf>
    <xf numFmtId="0" fontId="4" fillId="0" borderId="7" xfId="3" applyFont="1" applyBorder="1" applyProtection="1">
      <alignment vertical="center"/>
      <protection locked="0"/>
    </xf>
    <xf numFmtId="0" fontId="4" fillId="0" borderId="1" xfId="3" applyFont="1" applyBorder="1" applyAlignment="1" applyProtection="1">
      <alignment vertical="center" shrinkToFit="1"/>
      <protection locked="0"/>
    </xf>
    <xf numFmtId="195" fontId="4" fillId="0" borderId="4" xfId="3" applyNumberFormat="1" applyFont="1" applyBorder="1" applyProtection="1">
      <alignment vertical="center"/>
      <protection locked="0"/>
    </xf>
    <xf numFmtId="0" fontId="4" fillId="0" borderId="3" xfId="0" applyFont="1" applyBorder="1" applyAlignment="1" applyProtection="1">
      <alignment vertical="center" shrinkToFit="1"/>
      <protection locked="0"/>
    </xf>
    <xf numFmtId="195" fontId="4" fillId="0" borderId="1" xfId="3" applyNumberFormat="1" applyFont="1" applyBorder="1" applyProtection="1">
      <alignment vertical="center"/>
      <protection locked="0"/>
    </xf>
    <xf numFmtId="193" fontId="4" fillId="0" borderId="3" xfId="3" applyNumberFormat="1" applyFont="1" applyBorder="1" applyProtection="1">
      <alignment vertical="center"/>
      <protection locked="0"/>
    </xf>
    <xf numFmtId="193" fontId="4" fillId="0" borderId="1" xfId="3" applyNumberFormat="1" applyFont="1" applyBorder="1" applyProtection="1">
      <alignment vertical="center"/>
      <protection locked="0"/>
    </xf>
    <xf numFmtId="38" fontId="4" fillId="0" borderId="1" xfId="2" applyFont="1" applyFill="1" applyBorder="1" applyAlignment="1" applyProtection="1">
      <alignment horizontal="right" vertical="center"/>
      <protection locked="0"/>
    </xf>
    <xf numFmtId="0" fontId="4" fillId="0" borderId="5" xfId="1" applyFont="1" applyBorder="1" applyAlignment="1" applyProtection="1">
      <alignment horizontal="center" vertical="center" shrinkToFit="1"/>
      <protection locked="0"/>
    </xf>
    <xf numFmtId="193" fontId="4" fillId="0" borderId="4" xfId="3" applyNumberFormat="1" applyFont="1" applyBorder="1" applyProtection="1">
      <alignment vertical="center"/>
      <protection locked="0"/>
    </xf>
    <xf numFmtId="0" fontId="0" fillId="0" borderId="3" xfId="0" applyBorder="1" applyAlignment="1">
      <alignment horizontal="center" vertical="center" shrinkToFit="1"/>
    </xf>
    <xf numFmtId="0" fontId="16" fillId="0" borderId="1" xfId="3" applyBorder="1" applyAlignment="1">
      <alignment horizontal="center" vertical="center" shrinkToFit="1"/>
    </xf>
    <xf numFmtId="0" fontId="0" fillId="0" borderId="1" xfId="3" applyFont="1" applyBorder="1" applyAlignment="1">
      <alignment horizontal="center" vertical="center" shrinkToFit="1"/>
    </xf>
    <xf numFmtId="0" fontId="78" fillId="0" borderId="4" xfId="0" applyFont="1" applyBorder="1" applyAlignment="1">
      <alignment horizontal="center" vertical="center" wrapText="1"/>
    </xf>
    <xf numFmtId="0" fontId="52" fillId="0" borderId="3" xfId="0" applyFont="1" applyBorder="1">
      <alignment vertical="center"/>
    </xf>
    <xf numFmtId="0" fontId="16" fillId="0" borderId="4" xfId="3"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16" fillId="0" borderId="5" xfId="3" applyBorder="1" applyAlignment="1">
      <alignment horizontal="center" vertical="center"/>
    </xf>
    <xf numFmtId="0" fontId="0" fillId="0" borderId="2" xfId="0" applyBorder="1" applyAlignment="1">
      <alignment horizontal="center" vertical="center"/>
    </xf>
    <xf numFmtId="0" fontId="16" fillId="0" borderId="3" xfId="3" applyBorder="1" applyAlignment="1">
      <alignment horizontal="center" vertical="center"/>
    </xf>
    <xf numFmtId="0" fontId="0" fillId="0" borderId="5" xfId="3" applyFont="1" applyBorder="1" applyAlignment="1">
      <alignment horizontal="center" vertical="center"/>
    </xf>
    <xf numFmtId="0" fontId="16" fillId="0" borderId="2" xfId="3" applyBorder="1" applyAlignment="1">
      <alignment horizontal="center" vertical="center"/>
    </xf>
    <xf numFmtId="0" fontId="4" fillId="0" borderId="4" xfId="3"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4" fillId="0" borderId="3" xfId="3" applyFont="1" applyBorder="1" applyAlignment="1">
      <alignment horizontal="center" vertical="center" shrinkToFit="1"/>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78" xfId="3" applyFont="1" applyBorder="1" applyAlignment="1">
      <alignment horizontal="center" vertical="center"/>
    </xf>
    <xf numFmtId="0" fontId="4" fillId="0" borderId="73" xfId="3" applyFont="1" applyBorder="1" applyAlignment="1">
      <alignment horizontal="center" vertical="center"/>
    </xf>
    <xf numFmtId="0" fontId="4" fillId="0" borderId="72" xfId="3" applyFont="1" applyBorder="1" applyAlignment="1">
      <alignment horizontal="center" vertical="center"/>
    </xf>
    <xf numFmtId="0" fontId="4" fillId="0" borderId="71" xfId="3" applyFont="1" applyBorder="1" applyAlignment="1">
      <alignment horizontal="center" vertical="center"/>
    </xf>
    <xf numFmtId="0" fontId="4" fillId="0" borderId="5" xfId="3" applyFont="1" applyBorder="1" applyProtection="1">
      <alignment vertical="center"/>
      <protection locked="0"/>
    </xf>
    <xf numFmtId="0" fontId="4" fillId="0" borderId="6" xfId="3" applyFont="1" applyBorder="1" applyProtection="1">
      <alignment vertical="center"/>
      <protection locked="0"/>
    </xf>
    <xf numFmtId="0" fontId="4" fillId="0" borderId="2" xfId="3" applyFont="1" applyBorder="1" applyProtection="1">
      <alignment vertical="center"/>
      <protection locked="0"/>
    </xf>
    <xf numFmtId="0" fontId="14" fillId="0" borderId="0" xfId="10" applyAlignment="1">
      <alignment horizontal="center" vertical="center" wrapText="1"/>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19" xfId="3" applyFont="1" applyBorder="1" applyAlignment="1">
      <alignment horizontal="center" vertical="center" shrinkToFit="1"/>
    </xf>
    <xf numFmtId="0" fontId="4" fillId="0" borderId="73" xfId="3" applyFont="1" applyBorder="1" applyAlignment="1">
      <alignment horizontal="center" vertical="center" shrinkToFit="1"/>
    </xf>
    <xf numFmtId="0" fontId="4" fillId="0" borderId="1" xfId="3" applyFont="1" applyBorder="1" applyAlignment="1">
      <alignment horizontal="center" vertical="center"/>
    </xf>
    <xf numFmtId="0" fontId="4" fillId="0" borderId="1" xfId="3" applyFont="1" applyBorder="1">
      <alignment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2" fillId="0" borderId="1" xfId="0" applyFont="1" applyBorder="1" applyAlignment="1" applyProtection="1">
      <alignment horizontal="left" vertical="center"/>
      <protection locked="0"/>
    </xf>
    <xf numFmtId="0" fontId="71" fillId="0" borderId="0" xfId="0" applyFont="1" applyAlignment="1">
      <alignment horizontal="left" vertical="center" wrapText="1"/>
    </xf>
    <xf numFmtId="180" fontId="9" fillId="0" borderId="5" xfId="0" applyNumberFormat="1"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0" xfId="0" applyBorder="1" applyAlignment="1">
      <alignment horizontal="left" vertical="center" wrapText="1"/>
    </xf>
    <xf numFmtId="0" fontId="0" fillId="0" borderId="5" xfId="0" applyBorder="1" applyAlignment="1">
      <alignment horizontal="center" vertical="center"/>
    </xf>
    <xf numFmtId="0" fontId="33" fillId="0" borderId="5" xfId="0" applyFont="1" applyBorder="1" applyAlignment="1">
      <alignment horizontal="left" vertical="center"/>
    </xf>
    <xf numFmtId="0" fontId="33" fillId="0" borderId="2" xfId="0" applyFont="1" applyBorder="1" applyAlignment="1">
      <alignment horizontal="left" vertical="center"/>
    </xf>
    <xf numFmtId="181" fontId="33" fillId="0" borderId="1" xfId="0" applyNumberFormat="1" applyFont="1" applyBorder="1" applyAlignment="1">
      <alignment horizontal="right" vertical="center" indent="1"/>
    </xf>
    <xf numFmtId="0" fontId="33" fillId="0" borderId="1" xfId="0" applyFont="1" applyBorder="1" applyAlignment="1">
      <alignment horizontal="right" vertical="center" indent="1"/>
    </xf>
    <xf numFmtId="0" fontId="67"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lignment vertical="center"/>
    </xf>
    <xf numFmtId="0" fontId="33" fillId="0" borderId="7" xfId="0" applyFont="1" applyBorder="1" applyAlignment="1">
      <alignment horizontal="left" vertical="center"/>
    </xf>
    <xf numFmtId="0" fontId="33" fillId="0" borderId="1" xfId="0" applyFont="1" applyBorder="1" applyAlignment="1">
      <alignment horizontal="left" vertical="center"/>
    </xf>
    <xf numFmtId="0" fontId="33" fillId="0" borderId="3" xfId="0" applyFont="1" applyBorder="1" applyAlignment="1">
      <alignment horizontal="left" vertical="center"/>
    </xf>
    <xf numFmtId="181" fontId="33" fillId="0" borderId="93" xfId="0" applyNumberFormat="1" applyFont="1" applyBorder="1" applyAlignment="1">
      <alignment horizontal="right" vertical="center" indent="1"/>
    </xf>
    <xf numFmtId="0" fontId="33" fillId="0" borderId="93" xfId="0" applyFont="1" applyBorder="1" applyAlignment="1">
      <alignment horizontal="right" vertical="center" indent="1"/>
    </xf>
    <xf numFmtId="0" fontId="69" fillId="0" borderId="5" xfId="0" applyFont="1" applyBorder="1">
      <alignment vertical="center"/>
    </xf>
    <xf numFmtId="0" fontId="70" fillId="0" borderId="2" xfId="0" applyFont="1" applyBorder="1">
      <alignment vertical="center"/>
    </xf>
    <xf numFmtId="0" fontId="58" fillId="0" borderId="5" xfId="0" applyFont="1" applyBorder="1">
      <alignment vertical="center"/>
    </xf>
    <xf numFmtId="0" fontId="33" fillId="0" borderId="2" xfId="0" applyFont="1" applyBorder="1">
      <alignment vertical="center"/>
    </xf>
    <xf numFmtId="0" fontId="65" fillId="0" borderId="5" xfId="0" applyFont="1" applyBorder="1">
      <alignment vertical="center"/>
    </xf>
    <xf numFmtId="0" fontId="33" fillId="0" borderId="72" xfId="0" applyFont="1" applyBorder="1" applyAlignment="1">
      <alignment horizontal="left" vertical="center" wrapText="1"/>
    </xf>
    <xf numFmtId="209" fontId="67" fillId="0" borderId="1" xfId="0" applyNumberFormat="1" applyFont="1" applyBorder="1" applyAlignment="1">
      <alignment horizontal="center" vertical="center"/>
    </xf>
    <xf numFmtId="210" fontId="34" fillId="0" borderId="1" xfId="0" applyNumberFormat="1" applyFont="1" applyBorder="1" applyAlignment="1">
      <alignment horizontal="center" vertical="center"/>
    </xf>
    <xf numFmtId="0" fontId="0" fillId="0" borderId="0" xfId="0" applyAlignment="1">
      <alignment horizontal="center" vertical="center"/>
    </xf>
    <xf numFmtId="0" fontId="65" fillId="0" borderId="5" xfId="0" applyFont="1" applyBorder="1" applyAlignment="1">
      <alignment horizontal="left" vertical="center" wrapText="1"/>
    </xf>
    <xf numFmtId="0" fontId="6" fillId="0" borderId="0" xfId="0" applyFont="1" applyAlignment="1">
      <alignment horizontal="left" vertical="center" wrapText="1"/>
    </xf>
    <xf numFmtId="207" fontId="67" fillId="0" borderId="1" xfId="0" applyNumberFormat="1" applyFont="1" applyBorder="1" applyAlignment="1" applyProtection="1">
      <alignment horizontal="center" vertical="center"/>
      <protection locked="0"/>
    </xf>
    <xf numFmtId="208" fontId="66" fillId="0" borderId="1" xfId="0" applyNumberFormat="1"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0" fillId="0" borderId="72" xfId="3" applyFont="1"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0" fillId="0" borderId="99" xfId="15" applyFont="1" applyBorder="1" applyAlignment="1">
      <alignment horizontal="center" vertical="center"/>
    </xf>
    <xf numFmtId="0" fontId="60" fillId="0" borderId="3" xfId="15" applyFont="1" applyBorder="1" applyAlignment="1">
      <alignment horizontal="center" vertical="center"/>
    </xf>
    <xf numFmtId="0" fontId="60" fillId="0" borderId="98" xfId="15" applyFont="1" applyBorder="1" applyAlignment="1">
      <alignment horizontal="center" vertical="center" shrinkToFit="1"/>
    </xf>
    <xf numFmtId="0" fontId="60" fillId="0" borderId="97" xfId="15" applyFont="1" applyBorder="1" applyAlignment="1">
      <alignment horizontal="center" vertical="center" shrinkToFit="1"/>
    </xf>
    <xf numFmtId="0" fontId="60" fillId="0" borderId="102" xfId="15" applyFont="1" applyBorder="1" applyAlignment="1">
      <alignment horizontal="center" vertical="center" wrapText="1"/>
    </xf>
    <xf numFmtId="0" fontId="60" fillId="0" borderId="49" xfId="15" applyFont="1" applyBorder="1" applyAlignment="1">
      <alignment horizontal="center" vertical="center" wrapText="1"/>
    </xf>
    <xf numFmtId="0" fontId="60" fillId="0" borderId="100" xfId="15" applyFont="1" applyBorder="1" applyAlignment="1">
      <alignment horizontal="center" vertical="center"/>
    </xf>
    <xf numFmtId="0" fontId="60" fillId="0" borderId="71" xfId="15" applyFont="1" applyBorder="1" applyAlignment="1">
      <alignment horizontal="center" vertical="center"/>
    </xf>
    <xf numFmtId="0" fontId="60" fillId="0" borderId="101" xfId="15" applyFont="1" applyBorder="1" applyAlignment="1">
      <alignment horizontal="center" vertical="center"/>
    </xf>
    <xf numFmtId="0" fontId="60" fillId="0" borderId="73" xfId="15" applyFont="1" applyBorder="1" applyAlignment="1">
      <alignment horizontal="center" vertical="center"/>
    </xf>
    <xf numFmtId="0" fontId="60" fillId="0" borderId="21" xfId="15" applyFont="1" applyBorder="1" applyAlignment="1">
      <alignment horizontal="center" vertical="center"/>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45" fillId="2" borderId="11" xfId="12" applyFont="1" applyFill="1" applyBorder="1" applyAlignment="1" applyProtection="1">
      <alignment horizontal="left" vertical="center" indent="1"/>
    </xf>
    <xf numFmtId="0" fontId="42" fillId="2" borderId="0" xfId="12" applyFont="1" applyFill="1" applyBorder="1" applyAlignment="1" applyProtection="1">
      <alignment horizontal="left" vertical="center" indent="1"/>
    </xf>
    <xf numFmtId="0" fontId="42"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22" xfId="10" applyFill="1" applyBorder="1" applyAlignment="1">
      <alignment horizontal="center" vertical="center" wrapText="1"/>
    </xf>
    <xf numFmtId="0" fontId="43" fillId="2" borderId="11" xfId="10" applyFont="1" applyFill="1" applyBorder="1" applyAlignment="1">
      <alignment horizontal="left" vertical="center" wrapText="1" indent="1"/>
    </xf>
    <xf numFmtId="0" fontId="42" fillId="2" borderId="0" xfId="10" applyFont="1" applyFill="1" applyAlignment="1">
      <alignment horizontal="left" vertical="center" wrapText="1" indent="1"/>
    </xf>
    <xf numFmtId="0" fontId="42"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cellXfs>
  <cellStyles count="17">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 52 2" xfId="16" xr:uid="{68F70F0F-3640-4C76-8D5E-BD5EFC90B69C}"/>
    <cellStyle name="標準_主要機器" xfId="15" xr:uid="{9A2A4BDB-D494-4DB0-BA41-18378E44DEE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61"/>
  <sheetViews>
    <sheetView showGridLines="0" tabSelected="1" zoomScale="85" zoomScaleNormal="85" workbookViewId="0"/>
  </sheetViews>
  <sheetFormatPr defaultRowHeight="13.5" x14ac:dyDescent="0.15"/>
  <cols>
    <col min="1" max="1" width="2.5" customWidth="1"/>
    <col min="2" max="2" width="3.125" style="3" customWidth="1"/>
    <col min="3" max="3" width="3.875" customWidth="1"/>
    <col min="4" max="4" width="20.125" customWidth="1"/>
    <col min="5" max="5" width="18.125" customWidth="1"/>
    <col min="6" max="6" width="21.875" customWidth="1"/>
    <col min="7" max="7" width="20.875" customWidth="1"/>
    <col min="8" max="8" width="16.25" customWidth="1"/>
    <col min="9" max="9" width="17.5" customWidth="1"/>
    <col min="10" max="10" width="1.875" customWidth="1"/>
    <col min="11" max="11" width="13" hidden="1" customWidth="1"/>
    <col min="12" max="15" width="9" hidden="1" customWidth="1"/>
    <col min="16" max="16" width="6.1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2.75" customWidth="1"/>
    <col min="26" max="26" width="4.5" hidden="1"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8" width="9" hidden="1" customWidth="1"/>
    <col min="39" max="41" width="9" customWidth="1"/>
  </cols>
  <sheetData>
    <row r="1" spans="2:14" ht="33.75" customHeight="1" x14ac:dyDescent="0.15"/>
    <row r="2" spans="2:14" ht="24" customHeight="1" x14ac:dyDescent="0.15">
      <c r="C2" s="359" t="s">
        <v>213</v>
      </c>
    </row>
    <row r="4" spans="2:14" ht="18.75" hidden="1" x14ac:dyDescent="0.15">
      <c r="B4" s="234"/>
      <c r="C4" s="184" t="s">
        <v>25</v>
      </c>
    </row>
    <row r="5" spans="2:14" hidden="1" x14ac:dyDescent="0.15">
      <c r="B5" s="3" t="s">
        <v>0</v>
      </c>
      <c r="C5" t="s">
        <v>208</v>
      </c>
    </row>
    <row r="6" spans="2:14" ht="41.25" hidden="1" thickBot="1" x14ac:dyDescent="0.2">
      <c r="C6" s="182" t="s">
        <v>26</v>
      </c>
      <c r="D6" s="507" t="s">
        <v>1</v>
      </c>
      <c r="E6" s="508"/>
      <c r="F6" s="213" t="s">
        <v>27</v>
      </c>
      <c r="G6" s="232" t="s">
        <v>28</v>
      </c>
      <c r="M6" s="1" t="s">
        <v>29</v>
      </c>
      <c r="N6" s="1" t="s">
        <v>30</v>
      </c>
    </row>
    <row r="7" spans="2:14" ht="18" hidden="1" thickTop="1" x14ac:dyDescent="0.15">
      <c r="C7" s="183"/>
      <c r="D7" s="509"/>
      <c r="E7" s="509"/>
      <c r="F7" s="230"/>
      <c r="G7" s="45"/>
      <c r="M7" s="81" t="str">
        <f t="shared" ref="M7:M12" si="0">IFERROR(VLOOKUP(D7,原単位表,2),"")</f>
        <v/>
      </c>
      <c r="N7" s="81" t="str">
        <f t="shared" ref="N7:N12" si="1">IFERROR(ROUND(F7*M7,1),"")</f>
        <v/>
      </c>
    </row>
    <row r="8" spans="2:14" ht="17.25" hidden="1" x14ac:dyDescent="0.15">
      <c r="C8" s="183"/>
      <c r="D8" s="509"/>
      <c r="E8" s="509"/>
      <c r="F8" s="230"/>
      <c r="G8" s="230"/>
      <c r="M8" s="81" t="str">
        <f t="shared" si="0"/>
        <v/>
      </c>
      <c r="N8" s="81" t="str">
        <f t="shared" si="1"/>
        <v/>
      </c>
    </row>
    <row r="9" spans="2:14" ht="17.25" hidden="1" x14ac:dyDescent="0.15">
      <c r="C9" s="44"/>
      <c r="D9" s="509"/>
      <c r="E9" s="509"/>
      <c r="F9" s="230"/>
      <c r="G9" s="230"/>
      <c r="M9" s="81" t="str">
        <f t="shared" si="0"/>
        <v/>
      </c>
      <c r="N9" s="81" t="str">
        <f t="shared" si="1"/>
        <v/>
      </c>
    </row>
    <row r="10" spans="2:14" ht="17.25" hidden="1" x14ac:dyDescent="0.15">
      <c r="C10" s="44"/>
      <c r="D10" s="509"/>
      <c r="E10" s="509"/>
      <c r="F10" s="230"/>
      <c r="G10" s="230"/>
      <c r="M10" s="81" t="str">
        <f t="shared" si="0"/>
        <v/>
      </c>
      <c r="N10" s="81" t="str">
        <f t="shared" si="1"/>
        <v/>
      </c>
    </row>
    <row r="11" spans="2:14" ht="17.25" hidden="1" x14ac:dyDescent="0.15">
      <c r="C11" s="44"/>
      <c r="D11" s="509"/>
      <c r="E11" s="509"/>
      <c r="F11" s="230"/>
      <c r="G11" s="230"/>
      <c r="M11" s="81" t="str">
        <f t="shared" si="0"/>
        <v/>
      </c>
      <c r="N11" s="81" t="str">
        <f t="shared" si="1"/>
        <v/>
      </c>
    </row>
    <row r="12" spans="2:14" ht="18" hidden="1" thickBot="1" x14ac:dyDescent="0.2">
      <c r="C12" s="44"/>
      <c r="D12" s="509"/>
      <c r="E12" s="509"/>
      <c r="F12" s="230"/>
      <c r="G12" s="230"/>
      <c r="I12" s="3" t="s">
        <v>201</v>
      </c>
      <c r="M12" s="81" t="str">
        <f t="shared" si="0"/>
        <v/>
      </c>
      <c r="N12" s="81" t="str">
        <f t="shared" si="1"/>
        <v/>
      </c>
    </row>
    <row r="13" spans="2:14" ht="18" hidden="1" thickBot="1" x14ac:dyDescent="0.2">
      <c r="C13" s="1"/>
      <c r="D13" s="517" t="s">
        <v>2</v>
      </c>
      <c r="E13" s="472"/>
      <c r="F13" s="231">
        <f>SUM(F7:F12)</f>
        <v>0</v>
      </c>
      <c r="G13" s="231">
        <f>SUM(G7:G12)</f>
        <v>0</v>
      </c>
      <c r="H13" s="233" t="s">
        <v>31</v>
      </c>
      <c r="I13" s="83">
        <f>N13</f>
        <v>0</v>
      </c>
      <c r="M13" s="81"/>
      <c r="N13" s="82">
        <f>ROUND(SUM(N7:N12),0)</f>
        <v>0</v>
      </c>
    </row>
    <row r="14" spans="2:14" hidden="1" x14ac:dyDescent="0.15">
      <c r="D14" t="s">
        <v>209</v>
      </c>
    </row>
    <row r="15" spans="2:14" hidden="1" x14ac:dyDescent="0.15"/>
    <row r="16" spans="2:14" hidden="1" x14ac:dyDescent="0.15">
      <c r="B16" s="3" t="s">
        <v>3</v>
      </c>
      <c r="C16" t="s">
        <v>195</v>
      </c>
    </row>
    <row r="17" spans="3:10" ht="54.75" hidden="1" thickBot="1" x14ac:dyDescent="0.2">
      <c r="C17" s="182" t="s">
        <v>32</v>
      </c>
      <c r="D17" s="213" t="s">
        <v>33</v>
      </c>
      <c r="E17" s="213" t="s">
        <v>34</v>
      </c>
      <c r="F17" s="213" t="s">
        <v>35</v>
      </c>
      <c r="G17" s="213" t="s">
        <v>36</v>
      </c>
      <c r="H17" s="224" t="s">
        <v>37</v>
      </c>
      <c r="I17" s="229" t="s">
        <v>38</v>
      </c>
      <c r="J17" s="214"/>
    </row>
    <row r="18" spans="3:10" ht="14.25" hidden="1" thickTop="1" x14ac:dyDescent="0.15">
      <c r="C18" s="34"/>
      <c r="D18" s="35"/>
      <c r="E18" s="206"/>
      <c r="F18" s="206"/>
      <c r="G18" s="204"/>
      <c r="H18" s="226"/>
      <c r="I18" s="43"/>
      <c r="J18" s="218"/>
    </row>
    <row r="19" spans="3:10" hidden="1" x14ac:dyDescent="0.15">
      <c r="C19" s="34"/>
      <c r="D19" s="35"/>
      <c r="E19" s="206"/>
      <c r="F19" s="205"/>
      <c r="G19" s="204"/>
      <c r="H19" s="227"/>
      <c r="I19" s="44"/>
      <c r="J19" s="218"/>
    </row>
    <row r="20" spans="3:10" hidden="1" x14ac:dyDescent="0.15">
      <c r="C20" s="34"/>
      <c r="D20" s="164"/>
      <c r="E20" s="205"/>
      <c r="F20" s="205"/>
      <c r="G20" s="204"/>
      <c r="H20" s="227"/>
      <c r="I20" s="44"/>
      <c r="J20" s="218"/>
    </row>
    <row r="21" spans="3:10" hidden="1" x14ac:dyDescent="0.15">
      <c r="C21" s="34"/>
      <c r="D21" s="164"/>
      <c r="E21" s="205"/>
      <c r="F21" s="205"/>
      <c r="G21" s="204"/>
      <c r="H21" s="227"/>
      <c r="I21" s="44"/>
      <c r="J21" s="218"/>
    </row>
    <row r="22" spans="3:10" hidden="1" x14ac:dyDescent="0.15">
      <c r="C22" s="34"/>
      <c r="D22" s="164"/>
      <c r="E22" s="205"/>
      <c r="F22" s="205"/>
      <c r="G22" s="204"/>
      <c r="H22" s="227"/>
      <c r="I22" s="44"/>
      <c r="J22" s="218"/>
    </row>
    <row r="23" spans="3:10" ht="17.25" hidden="1" x14ac:dyDescent="0.15">
      <c r="C23" s="183"/>
      <c r="D23" s="225"/>
      <c r="E23" s="216"/>
      <c r="F23" s="216"/>
      <c r="G23" s="217"/>
      <c r="H23" s="44"/>
      <c r="I23" s="228"/>
      <c r="J23" s="218"/>
    </row>
    <row r="24" spans="3:10" ht="17.25" hidden="1" x14ac:dyDescent="0.15">
      <c r="C24" s="183"/>
      <c r="D24" s="215"/>
      <c r="E24" s="216"/>
      <c r="F24" s="216"/>
      <c r="G24" s="217"/>
      <c r="H24" s="44"/>
      <c r="I24" s="228"/>
      <c r="J24" s="218"/>
    </row>
    <row r="25" spans="3:10" ht="17.25" hidden="1" x14ac:dyDescent="0.15">
      <c r="C25" s="183"/>
      <c r="D25" s="215"/>
      <c r="E25" s="216"/>
      <c r="F25" s="216"/>
      <c r="G25" s="217"/>
      <c r="H25" s="44"/>
      <c r="I25" s="228"/>
      <c r="J25" s="218"/>
    </row>
    <row r="26" spans="3:10" ht="17.25" hidden="1" x14ac:dyDescent="0.15">
      <c r="C26" s="183"/>
      <c r="D26" s="215"/>
      <c r="E26" s="216"/>
      <c r="F26" s="216"/>
      <c r="G26" s="219"/>
      <c r="H26" s="44"/>
      <c r="I26" s="228"/>
      <c r="J26" s="218"/>
    </row>
    <row r="27" spans="3:10" ht="17.25" hidden="1" x14ac:dyDescent="0.15">
      <c r="C27" s="183"/>
      <c r="D27" s="220"/>
      <c r="E27" s="221"/>
      <c r="F27" s="221"/>
      <c r="G27" s="219"/>
      <c r="H27" s="44"/>
      <c r="I27" s="228"/>
      <c r="J27" s="218"/>
    </row>
    <row r="28" spans="3:10" ht="17.25" hidden="1" x14ac:dyDescent="0.15">
      <c r="C28" s="1"/>
      <c r="D28" s="1" t="s">
        <v>2</v>
      </c>
      <c r="E28" s="222"/>
      <c r="F28" s="222"/>
      <c r="G28" s="223">
        <f>SUM(G18:G27)</f>
        <v>0</v>
      </c>
      <c r="H28" s="44"/>
      <c r="I28" s="228"/>
    </row>
    <row r="29" spans="3:10" hidden="1" x14ac:dyDescent="0.15">
      <c r="D29" s="516" t="s">
        <v>210</v>
      </c>
      <c r="E29" s="516"/>
      <c r="F29" s="516"/>
      <c r="G29" s="516"/>
    </row>
    <row r="30" spans="3:10" x14ac:dyDescent="0.15">
      <c r="D30" s="165"/>
      <c r="E30" s="165"/>
      <c r="F30" s="165"/>
      <c r="G30" s="165"/>
    </row>
    <row r="31" spans="3:10" ht="14.25" x14ac:dyDescent="0.15">
      <c r="C31" s="358" t="s">
        <v>39</v>
      </c>
      <c r="D31" s="165"/>
      <c r="E31" s="165"/>
      <c r="F31" s="165"/>
      <c r="G31" s="165"/>
    </row>
    <row r="33" spans="2:18" x14ac:dyDescent="0.15">
      <c r="B33" s="3" t="s">
        <v>0</v>
      </c>
      <c r="C33" t="s">
        <v>208</v>
      </c>
    </row>
    <row r="34" spans="2:18" ht="74.25" customHeight="1" thickBot="1" x14ac:dyDescent="0.2">
      <c r="C34" s="182" t="s">
        <v>26</v>
      </c>
      <c r="D34" s="507" t="s">
        <v>1</v>
      </c>
      <c r="E34" s="508"/>
      <c r="F34" s="213" t="s">
        <v>286</v>
      </c>
      <c r="G34" s="213" t="s">
        <v>287</v>
      </c>
      <c r="H34" s="392" t="s">
        <v>292</v>
      </c>
      <c r="M34" s="1" t="s">
        <v>29</v>
      </c>
      <c r="N34" s="1" t="s">
        <v>30</v>
      </c>
      <c r="R34"/>
    </row>
    <row r="35" spans="2:18" ht="21.75" customHeight="1" thickTop="1" x14ac:dyDescent="0.15">
      <c r="C35" s="314"/>
      <c r="D35" s="509"/>
      <c r="E35" s="509"/>
      <c r="F35" s="315"/>
      <c r="G35" s="315"/>
      <c r="H35" s="314"/>
      <c r="I35" s="287"/>
      <c r="J35" s="287"/>
      <c r="M35" s="81" t="str">
        <f t="shared" ref="M35:M40" si="2">IFERROR(VLOOKUP(D35,原単位表,2),"")</f>
        <v/>
      </c>
      <c r="N35" s="81" t="str">
        <f>IFERROR(ROUND(F35*M35*H35,1),"")</f>
        <v/>
      </c>
      <c r="R35"/>
    </row>
    <row r="36" spans="2:18" ht="21.75" customHeight="1" x14ac:dyDescent="0.15">
      <c r="C36" s="314"/>
      <c r="D36" s="509"/>
      <c r="E36" s="509"/>
      <c r="F36" s="315"/>
      <c r="G36" s="315"/>
      <c r="H36" s="316"/>
      <c r="I36" s="510"/>
      <c r="J36" s="510"/>
      <c r="M36" s="81" t="str">
        <f t="shared" si="2"/>
        <v/>
      </c>
      <c r="N36" s="81" t="str">
        <f t="shared" ref="N36:N40" si="3">IFERROR(ROUND(F36*M36*H36,1),"")</f>
        <v/>
      </c>
      <c r="R36"/>
    </row>
    <row r="37" spans="2:18" ht="21.75" customHeight="1" x14ac:dyDescent="0.15">
      <c r="C37" s="316"/>
      <c r="D37" s="509"/>
      <c r="E37" s="509"/>
      <c r="F37" s="315"/>
      <c r="G37" s="315"/>
      <c r="H37" s="316"/>
      <c r="I37" s="510"/>
      <c r="J37" s="510"/>
      <c r="M37" s="81" t="str">
        <f t="shared" si="2"/>
        <v/>
      </c>
      <c r="N37" s="81" t="str">
        <f t="shared" si="3"/>
        <v/>
      </c>
      <c r="R37"/>
    </row>
    <row r="38" spans="2:18" ht="21.75" customHeight="1" x14ac:dyDescent="0.15">
      <c r="C38" s="316"/>
      <c r="D38" s="509"/>
      <c r="E38" s="509"/>
      <c r="F38" s="315"/>
      <c r="G38" s="315"/>
      <c r="H38" s="316"/>
      <c r="I38" s="510"/>
      <c r="J38" s="510"/>
      <c r="M38" s="81" t="str">
        <f t="shared" si="2"/>
        <v/>
      </c>
      <c r="N38" s="81" t="str">
        <f t="shared" si="3"/>
        <v/>
      </c>
      <c r="R38"/>
    </row>
    <row r="39" spans="2:18" ht="21.75" customHeight="1" x14ac:dyDescent="0.15">
      <c r="C39" s="316"/>
      <c r="D39" s="509"/>
      <c r="E39" s="509"/>
      <c r="F39" s="315"/>
      <c r="G39" s="315"/>
      <c r="H39" s="316"/>
      <c r="I39" s="287"/>
      <c r="J39" s="287"/>
      <c r="M39" s="81" t="str">
        <f t="shared" si="2"/>
        <v/>
      </c>
      <c r="N39" s="81" t="str">
        <f t="shared" si="3"/>
        <v/>
      </c>
      <c r="R39"/>
    </row>
    <row r="40" spans="2:18" ht="21.75" customHeight="1" thickBot="1" x14ac:dyDescent="0.2">
      <c r="C40" s="316"/>
      <c r="D40" s="509"/>
      <c r="E40" s="509"/>
      <c r="F40" s="315"/>
      <c r="G40" s="315"/>
      <c r="H40" s="316"/>
      <c r="I40" s="297" t="s">
        <v>201</v>
      </c>
      <c r="J40" s="287"/>
      <c r="M40" s="81" t="str">
        <f t="shared" si="2"/>
        <v/>
      </c>
      <c r="N40" s="81" t="str">
        <f t="shared" si="3"/>
        <v/>
      </c>
    </row>
    <row r="41" spans="2:18" ht="21.75" customHeight="1" thickBot="1" x14ac:dyDescent="0.2">
      <c r="C41" s="313"/>
      <c r="D41" s="518" t="s">
        <v>2</v>
      </c>
      <c r="E41" s="519"/>
      <c r="F41" s="327">
        <f>SUM(F35:F40)</f>
        <v>0</v>
      </c>
      <c r="G41" s="327">
        <f>SUM(G35:G40)</f>
        <v>0</v>
      </c>
      <c r="H41" s="307"/>
      <c r="I41" s="328">
        <f>N41</f>
        <v>0</v>
      </c>
      <c r="J41" s="287"/>
      <c r="M41" s="81"/>
      <c r="N41" s="82">
        <f>ROUND(SUM(N35:N40),0)</f>
        <v>0</v>
      </c>
    </row>
    <row r="43" spans="2:18" ht="25.5" customHeight="1" x14ac:dyDescent="0.15">
      <c r="M43" s="267" t="s">
        <v>233</v>
      </c>
    </row>
    <row r="44" spans="2:18" ht="14.25" x14ac:dyDescent="0.15">
      <c r="B44" s="299" t="s">
        <v>3</v>
      </c>
      <c r="C44" s="300" t="s">
        <v>207</v>
      </c>
      <c r="D44" s="300"/>
      <c r="E44" s="300"/>
      <c r="M44" s="42"/>
    </row>
    <row r="45" spans="2:18" ht="70.5" customHeight="1" thickBot="1" x14ac:dyDescent="0.2">
      <c r="C45" s="182" t="s">
        <v>32</v>
      </c>
      <c r="D45" s="213" t="s">
        <v>33</v>
      </c>
      <c r="E45" s="213" t="s">
        <v>238</v>
      </c>
      <c r="F45" s="213" t="s">
        <v>35</v>
      </c>
      <c r="G45" s="213" t="s">
        <v>234</v>
      </c>
      <c r="H45" s="224" t="s">
        <v>37</v>
      </c>
      <c r="I45" s="229" t="s">
        <v>38</v>
      </c>
      <c r="J45" s="214"/>
    </row>
    <row r="46" spans="2:18" ht="21.75" customHeight="1" thickTop="1" x14ac:dyDescent="0.15">
      <c r="C46" s="413"/>
      <c r="D46" s="414"/>
      <c r="E46" s="415"/>
      <c r="F46" s="415"/>
      <c r="G46" s="416"/>
      <c r="H46" s="317"/>
      <c r="I46" s="318"/>
      <c r="J46" s="218"/>
    </row>
    <row r="47" spans="2:18" ht="21.75" customHeight="1" x14ac:dyDescent="0.15">
      <c r="C47" s="413"/>
      <c r="D47" s="414"/>
      <c r="E47" s="415"/>
      <c r="F47" s="417"/>
      <c r="G47" s="416"/>
      <c r="H47" s="316"/>
      <c r="I47" s="316"/>
      <c r="J47" s="218"/>
    </row>
    <row r="48" spans="2:18" ht="21.75" customHeight="1" x14ac:dyDescent="0.15">
      <c r="C48" s="413"/>
      <c r="D48" s="418"/>
      <c r="E48" s="417"/>
      <c r="F48" s="417"/>
      <c r="G48" s="416"/>
      <c r="H48" s="316"/>
      <c r="I48" s="316"/>
      <c r="J48" s="218"/>
    </row>
    <row r="49" spans="3:35" ht="21.75" customHeight="1" x14ac:dyDescent="0.15">
      <c r="C49" s="413"/>
      <c r="D49" s="418"/>
      <c r="E49" s="417"/>
      <c r="F49" s="417"/>
      <c r="G49" s="416"/>
      <c r="H49" s="316"/>
      <c r="I49" s="316"/>
      <c r="J49" s="218"/>
    </row>
    <row r="50" spans="3:35" ht="21.75" customHeight="1" x14ac:dyDescent="0.15">
      <c r="C50" s="413"/>
      <c r="D50" s="418"/>
      <c r="E50" s="417"/>
      <c r="F50" s="417"/>
      <c r="G50" s="416"/>
      <c r="H50" s="316"/>
      <c r="I50" s="316"/>
      <c r="J50" s="218"/>
    </row>
    <row r="51" spans="3:35" ht="21.75" customHeight="1" x14ac:dyDescent="0.15">
      <c r="C51" s="319"/>
      <c r="D51" s="320"/>
      <c r="E51" s="321"/>
      <c r="F51" s="321"/>
      <c r="G51" s="322"/>
      <c r="H51" s="316"/>
      <c r="I51" s="323"/>
      <c r="J51" s="218"/>
    </row>
    <row r="52" spans="3:35" ht="21.75" customHeight="1" x14ac:dyDescent="0.15">
      <c r="C52" s="319"/>
      <c r="D52" s="324"/>
      <c r="E52" s="321"/>
      <c r="F52" s="321"/>
      <c r="G52" s="322"/>
      <c r="H52" s="316"/>
      <c r="I52" s="323"/>
      <c r="J52" s="218"/>
    </row>
    <row r="53" spans="3:35" ht="21.75" customHeight="1" x14ac:dyDescent="0.15">
      <c r="C53" s="319"/>
      <c r="D53" s="324"/>
      <c r="E53" s="321"/>
      <c r="F53" s="321"/>
      <c r="G53" s="322"/>
      <c r="H53" s="316"/>
      <c r="I53" s="323"/>
      <c r="J53" s="218"/>
    </row>
    <row r="54" spans="3:35" ht="21.75" customHeight="1" x14ac:dyDescent="0.15">
      <c r="C54" s="319"/>
      <c r="D54" s="324"/>
      <c r="E54" s="321"/>
      <c r="F54" s="321"/>
      <c r="G54" s="325"/>
      <c r="H54" s="316"/>
      <c r="I54" s="323"/>
      <c r="J54" s="218"/>
    </row>
    <row r="55" spans="3:35" ht="21.75" customHeight="1" x14ac:dyDescent="0.15">
      <c r="C55" s="319"/>
      <c r="D55" s="324"/>
      <c r="E55" s="326"/>
      <c r="F55" s="326"/>
      <c r="G55" s="325"/>
      <c r="H55" s="316"/>
      <c r="I55" s="323"/>
      <c r="J55" s="218"/>
    </row>
    <row r="56" spans="3:35" ht="21.75" customHeight="1" x14ac:dyDescent="0.15">
      <c r="C56" s="419"/>
      <c r="D56" s="420" t="s">
        <v>2</v>
      </c>
      <c r="E56" s="313"/>
      <c r="F56" s="313"/>
      <c r="G56" s="421">
        <f>SUM(G46:G55)</f>
        <v>0</v>
      </c>
      <c r="H56" s="420"/>
      <c r="I56" s="422"/>
    </row>
    <row r="57" spans="3:35" ht="47.25" customHeight="1" x14ac:dyDescent="0.15">
      <c r="D57" s="516" t="s">
        <v>210</v>
      </c>
      <c r="E57" s="516"/>
      <c r="F57" s="516"/>
      <c r="G57" s="516"/>
    </row>
    <row r="62" spans="3:35" ht="9" customHeight="1" x14ac:dyDescent="0.15"/>
    <row r="63" spans="3:35" ht="21" x14ac:dyDescent="0.15">
      <c r="Q63" s="26" t="s">
        <v>213</v>
      </c>
      <c r="S63" s="27"/>
      <c r="T63" s="27"/>
      <c r="U63" s="27"/>
      <c r="V63" s="27"/>
      <c r="W63" s="27"/>
      <c r="X63" s="27"/>
      <c r="Y63" s="27"/>
      <c r="Z63" s="27"/>
      <c r="AA63" s="27"/>
      <c r="AB63" s="27"/>
      <c r="AC63" s="27"/>
      <c r="AD63" s="28"/>
      <c r="AE63" s="29"/>
      <c r="AF63" s="30"/>
      <c r="AG63" s="31"/>
      <c r="AH63" s="27"/>
      <c r="AI63" s="27"/>
    </row>
    <row r="64" spans="3:35" ht="7.5" customHeight="1" x14ac:dyDescent="0.15">
      <c r="R64" s="31"/>
      <c r="S64" s="27"/>
      <c r="T64" s="27"/>
      <c r="U64" s="27"/>
      <c r="V64" s="27"/>
      <c r="W64" s="27"/>
      <c r="X64" s="27"/>
      <c r="Y64" s="27"/>
      <c r="Z64" s="27"/>
      <c r="AA64" s="27"/>
      <c r="AB64" s="27"/>
      <c r="AC64" s="27"/>
      <c r="AD64" s="27"/>
      <c r="AE64" s="29"/>
      <c r="AF64" s="32"/>
      <c r="AG64" s="32"/>
      <c r="AH64" s="27"/>
      <c r="AI64" s="27"/>
    </row>
    <row r="65" spans="17:40" ht="17.25" x14ac:dyDescent="0.15">
      <c r="Q65" s="33" t="s">
        <v>58</v>
      </c>
      <c r="R65" s="166"/>
      <c r="S65" s="27"/>
      <c r="T65" s="27"/>
      <c r="U65" s="27"/>
      <c r="V65" s="27"/>
      <c r="W65" s="27"/>
      <c r="X65" s="27"/>
      <c r="Y65" s="233" t="s">
        <v>194</v>
      </c>
      <c r="Z65" s="27"/>
      <c r="AA65" s="27"/>
      <c r="AB65" s="27"/>
      <c r="AC65" s="27"/>
      <c r="AD65" s="27"/>
      <c r="AE65" s="29"/>
      <c r="AF65" s="32"/>
      <c r="AG65" s="32"/>
      <c r="AH65" s="27"/>
      <c r="AI65" s="27"/>
    </row>
    <row r="66" spans="17:40" ht="13.5" customHeight="1" x14ac:dyDescent="0.15">
      <c r="Q66" s="466" t="s">
        <v>59</v>
      </c>
      <c r="R66" s="468" t="s">
        <v>60</v>
      </c>
      <c r="S66" s="468" t="s">
        <v>5</v>
      </c>
      <c r="T66" s="468" t="s">
        <v>61</v>
      </c>
      <c r="U66" s="474" t="s">
        <v>62</v>
      </c>
      <c r="V66" s="475"/>
      <c r="W66" s="471" t="s">
        <v>63</v>
      </c>
      <c r="X66" s="472"/>
      <c r="Y66" s="1"/>
      <c r="Z66" s="3"/>
      <c r="AA66" s="27"/>
      <c r="AB66" s="27"/>
      <c r="AC66" s="27"/>
      <c r="AD66" s="27"/>
      <c r="AE66" s="29"/>
      <c r="AF66" s="32"/>
      <c r="AG66" s="493" t="s">
        <v>64</v>
      </c>
      <c r="AH66" s="27"/>
      <c r="AI66" s="27"/>
    </row>
    <row r="67" spans="17:40" ht="15" customHeight="1" thickBot="1" x14ac:dyDescent="0.2">
      <c r="Q67" s="467"/>
      <c r="R67" s="469"/>
      <c r="S67" s="470"/>
      <c r="T67" s="473"/>
      <c r="U67" s="463" t="s">
        <v>65</v>
      </c>
      <c r="V67" s="463" t="s">
        <v>66</v>
      </c>
      <c r="W67" s="464" t="s">
        <v>198</v>
      </c>
      <c r="X67" s="464" t="s">
        <v>67</v>
      </c>
      <c r="Y67" s="465" t="s">
        <v>30</v>
      </c>
      <c r="Z67" s="31"/>
      <c r="AA67" s="118" t="s">
        <v>68</v>
      </c>
      <c r="AB67" s="100" t="s">
        <v>69</v>
      </c>
      <c r="AC67" s="84" t="s">
        <v>70</v>
      </c>
      <c r="AD67" s="155" t="s">
        <v>30</v>
      </c>
      <c r="AG67" s="493"/>
      <c r="AH67" s="100" t="s">
        <v>71</v>
      </c>
      <c r="AI67" s="84"/>
      <c r="AJ67" s="84"/>
      <c r="AK67" s="84"/>
    </row>
    <row r="68" spans="17:40" ht="16.5" customHeight="1" thickBot="1" x14ac:dyDescent="0.2">
      <c r="Q68" s="479" t="s">
        <v>72</v>
      </c>
      <c r="R68" s="423"/>
      <c r="S68" s="424"/>
      <c r="T68" s="425"/>
      <c r="U68" s="426"/>
      <c r="V68" s="427"/>
      <c r="W68" s="428"/>
      <c r="X68" s="428"/>
      <c r="Y68" s="334" t="str">
        <f>AD68</f>
        <v/>
      </c>
      <c r="Z68" s="335"/>
      <c r="AA68" s="156">
        <f t="shared" ref="AA68:AA73" si="4">IFERROR(VLOOKUP(U68*1000,$AH$76:$AI$84,2),"")</f>
        <v>500</v>
      </c>
      <c r="AB68" s="157" t="str">
        <f>IFERROR(ROUND(EXP(2.71-0.812*LN(V68)-0.654*LN(AA68)),4),"")</f>
        <v/>
      </c>
      <c r="AC68" s="158" t="str">
        <f>IFERROR(ROUND($AK$73*AB68,4),"")</f>
        <v/>
      </c>
      <c r="AD68" s="159" t="str">
        <f>IFERROR(ROUND(W68*X68*AC68/1000,1),"")</f>
        <v/>
      </c>
      <c r="AG68" s="84" t="s">
        <v>73</v>
      </c>
      <c r="AH68" s="84"/>
      <c r="AI68" s="84"/>
      <c r="AJ68" s="84"/>
      <c r="AK68" s="84"/>
    </row>
    <row r="69" spans="17:40" ht="15" customHeight="1" thickBot="1" x14ac:dyDescent="0.2">
      <c r="Q69" s="480"/>
      <c r="R69" s="423"/>
      <c r="S69" s="424"/>
      <c r="T69" s="425"/>
      <c r="U69" s="426"/>
      <c r="V69" s="427"/>
      <c r="W69" s="428"/>
      <c r="X69" s="428"/>
      <c r="Y69" s="334" t="str">
        <f t="shared" ref="Y69:Y80" si="5">AD69</f>
        <v/>
      </c>
      <c r="Z69" s="335"/>
      <c r="AA69" s="156">
        <f t="shared" si="4"/>
        <v>500</v>
      </c>
      <c r="AB69" s="157" t="str">
        <f t="shared" ref="AB69:AB73" si="6">IFERROR(ROUND(EXP(2.71-0.812*LN(V69)-0.654*LN(AA69)),4),"")</f>
        <v/>
      </c>
      <c r="AC69" s="158" t="str">
        <f t="shared" ref="AC69:AC80" si="7">IFERROR(ROUND($AK$73*AB69,4),"")</f>
        <v/>
      </c>
      <c r="AD69" s="159" t="str">
        <f t="shared" ref="AD69:AD73" si="8">IFERROR(ROUND(W69*X69*AC69/1000,1),"")</f>
        <v/>
      </c>
      <c r="AG69" s="84"/>
      <c r="AH69" s="117">
        <v>5000</v>
      </c>
      <c r="AI69" s="84" t="s">
        <v>74</v>
      </c>
      <c r="AJ69" s="84"/>
      <c r="AK69" s="84"/>
    </row>
    <row r="70" spans="17:40" ht="15" customHeight="1" thickBot="1" x14ac:dyDescent="0.2">
      <c r="Q70" s="480"/>
      <c r="R70" s="423"/>
      <c r="S70" s="424"/>
      <c r="T70" s="425"/>
      <c r="U70" s="426"/>
      <c r="V70" s="427"/>
      <c r="W70" s="428"/>
      <c r="X70" s="428"/>
      <c r="Y70" s="334" t="str">
        <f t="shared" si="5"/>
        <v/>
      </c>
      <c r="Z70" s="335"/>
      <c r="AA70" s="156">
        <f t="shared" si="4"/>
        <v>500</v>
      </c>
      <c r="AB70" s="157" t="str">
        <f t="shared" si="6"/>
        <v/>
      </c>
      <c r="AC70" s="158" t="str">
        <f t="shared" si="7"/>
        <v/>
      </c>
      <c r="AD70" s="159" t="str">
        <f t="shared" si="8"/>
        <v/>
      </c>
      <c r="AG70" s="118" t="s">
        <v>68</v>
      </c>
      <c r="AH70" s="86">
        <f>VLOOKUP(AH69,AH76:AI84,2)</f>
        <v>5000</v>
      </c>
      <c r="AI70" s="84" t="s">
        <v>74</v>
      </c>
      <c r="AJ70" s="84"/>
      <c r="AK70" s="84"/>
    </row>
    <row r="71" spans="17:40" ht="15" customHeight="1" thickBot="1" x14ac:dyDescent="0.2">
      <c r="Q71" s="480"/>
      <c r="R71" s="423"/>
      <c r="S71" s="424"/>
      <c r="T71" s="425"/>
      <c r="U71" s="426"/>
      <c r="V71" s="427"/>
      <c r="W71" s="428"/>
      <c r="X71" s="428"/>
      <c r="Y71" s="334" t="str">
        <f t="shared" si="5"/>
        <v/>
      </c>
      <c r="Z71" s="335"/>
      <c r="AA71" s="156">
        <f t="shared" si="4"/>
        <v>500</v>
      </c>
      <c r="AB71" s="157" t="str">
        <f t="shared" si="6"/>
        <v/>
      </c>
      <c r="AC71" s="158" t="str">
        <f t="shared" si="7"/>
        <v/>
      </c>
      <c r="AD71" s="159" t="str">
        <f t="shared" si="8"/>
        <v/>
      </c>
      <c r="AG71" s="118" t="s">
        <v>75</v>
      </c>
      <c r="AH71" s="117">
        <v>50</v>
      </c>
      <c r="AI71" s="84" t="s">
        <v>76</v>
      </c>
      <c r="AJ71" s="84"/>
      <c r="AK71" s="84"/>
    </row>
    <row r="72" spans="17:40" ht="15" customHeight="1" thickBot="1" x14ac:dyDescent="0.2">
      <c r="Q72" s="480"/>
      <c r="R72" s="423"/>
      <c r="S72" s="424"/>
      <c r="T72" s="425"/>
      <c r="U72" s="426"/>
      <c r="V72" s="427"/>
      <c r="W72" s="428"/>
      <c r="X72" s="428"/>
      <c r="Y72" s="334" t="str">
        <f t="shared" si="5"/>
        <v/>
      </c>
      <c r="Z72" s="335"/>
      <c r="AA72" s="156">
        <f t="shared" si="4"/>
        <v>500</v>
      </c>
      <c r="AB72" s="157" t="str">
        <f t="shared" si="6"/>
        <v/>
      </c>
      <c r="AC72" s="158" t="str">
        <f t="shared" si="7"/>
        <v/>
      </c>
      <c r="AD72" s="159" t="str">
        <f t="shared" si="8"/>
        <v/>
      </c>
      <c r="AG72" s="100" t="s">
        <v>69</v>
      </c>
      <c r="AH72" s="84" t="s">
        <v>77</v>
      </c>
      <c r="AI72" s="84" t="s">
        <v>78</v>
      </c>
      <c r="AJ72" s="115" t="s">
        <v>79</v>
      </c>
      <c r="AK72" s="3" t="s">
        <v>80</v>
      </c>
      <c r="AL72" s="84" t="s">
        <v>81</v>
      </c>
    </row>
    <row r="73" spans="17:40" ht="15" customHeight="1" thickBot="1" x14ac:dyDescent="0.2">
      <c r="Q73" s="480"/>
      <c r="R73" s="423"/>
      <c r="S73" s="429"/>
      <c r="T73" s="425"/>
      <c r="U73" s="426"/>
      <c r="V73" s="427"/>
      <c r="W73" s="428"/>
      <c r="X73" s="428"/>
      <c r="Y73" s="336" t="str">
        <f t="shared" si="5"/>
        <v/>
      </c>
      <c r="Z73" s="335"/>
      <c r="AA73" s="156">
        <f t="shared" si="4"/>
        <v>500</v>
      </c>
      <c r="AB73" s="157" t="str">
        <f t="shared" si="6"/>
        <v/>
      </c>
      <c r="AC73" s="158" t="str">
        <f t="shared" si="7"/>
        <v/>
      </c>
      <c r="AD73" s="159" t="str">
        <f t="shared" si="8"/>
        <v/>
      </c>
      <c r="AG73" s="112">
        <f>ROUND(EXP(2.71-0.812*LN(AH71/100)-0.654*LN(AH70)),4)</f>
        <v>0.10050000000000001</v>
      </c>
      <c r="AH73" s="84">
        <v>37.700000000000003</v>
      </c>
      <c r="AI73" s="84">
        <v>1.8700000000000001E-2</v>
      </c>
      <c r="AJ73" s="84">
        <f>44/12</f>
        <v>3.6666666666666665</v>
      </c>
      <c r="AK73" s="161">
        <f>AH73*AI73*AJ73</f>
        <v>2.5849633333333335</v>
      </c>
      <c r="AL73" s="111">
        <f>ROUND(AG73*AK73,4)</f>
        <v>0.25979999999999998</v>
      </c>
    </row>
    <row r="74" spans="17:40" ht="15" customHeight="1" thickBot="1" x14ac:dyDescent="0.2">
      <c r="Q74" s="481"/>
      <c r="R74" s="375"/>
      <c r="S74" s="376" t="s">
        <v>82</v>
      </c>
      <c r="T74" s="377"/>
      <c r="U74" s="337"/>
      <c r="V74" s="337"/>
      <c r="W74" s="338"/>
      <c r="X74" s="339" t="s">
        <v>31</v>
      </c>
      <c r="Y74" s="340">
        <f>ROUND(AD74,0)</f>
        <v>0</v>
      </c>
      <c r="Z74" s="335"/>
      <c r="AA74" s="175"/>
      <c r="AB74" s="176"/>
      <c r="AC74" s="177"/>
      <c r="AD74" s="178">
        <f>SUM(AD68:AD73)</f>
        <v>0</v>
      </c>
      <c r="AE74" s="162"/>
      <c r="AG74" s="100" t="s">
        <v>84</v>
      </c>
      <c r="AH74" s="100" t="s">
        <v>85</v>
      </c>
      <c r="AI74" s="84" t="s">
        <v>86</v>
      </c>
      <c r="AJ74" s="84"/>
      <c r="AL74" s="84" t="s">
        <v>87</v>
      </c>
    </row>
    <row r="75" spans="17:40" ht="15" customHeight="1" thickTop="1" thickBot="1" x14ac:dyDescent="0.2">
      <c r="Q75" s="480" t="s">
        <v>83</v>
      </c>
      <c r="R75" s="430"/>
      <c r="S75" s="424"/>
      <c r="T75" s="431"/>
      <c r="U75" s="432"/>
      <c r="V75" s="433"/>
      <c r="W75" s="428"/>
      <c r="X75" s="434"/>
      <c r="Y75" s="341" t="str">
        <f t="shared" si="5"/>
        <v/>
      </c>
      <c r="Z75" s="335"/>
      <c r="AA75" s="171">
        <f t="shared" ref="AA75:AA80" si="9">IFERROR(VLOOKUP(U75*1000,$AH$76:$AI$84,2),"")</f>
        <v>500</v>
      </c>
      <c r="AB75" s="172" t="str">
        <f>IFERROR(ROUND(EXP(2.71-0.812*LN(V75)-0.654*LN(AA75)),4),"")</f>
        <v/>
      </c>
      <c r="AC75" s="173" t="str">
        <f>IFERROR(ROUND($AK$73*AB75,4),"")</f>
        <v/>
      </c>
      <c r="AD75" s="174" t="str">
        <f>IFERROR(ROUND(W75*X75*AC75/1000,1),"")</f>
        <v/>
      </c>
      <c r="AG75" s="84"/>
      <c r="AH75" s="84"/>
      <c r="AI75" s="84"/>
      <c r="AJ75" s="84"/>
      <c r="AK75" s="84"/>
    </row>
    <row r="76" spans="17:40" ht="15" customHeight="1" thickBot="1" x14ac:dyDescent="0.2">
      <c r="Q76" s="480"/>
      <c r="R76" s="423"/>
      <c r="S76" s="424"/>
      <c r="T76" s="425"/>
      <c r="U76" s="426"/>
      <c r="V76" s="427"/>
      <c r="W76" s="428"/>
      <c r="X76" s="428"/>
      <c r="Y76" s="334" t="str">
        <f t="shared" si="5"/>
        <v/>
      </c>
      <c r="Z76" s="335"/>
      <c r="AA76" s="156">
        <f t="shared" si="9"/>
        <v>500</v>
      </c>
      <c r="AB76" s="157" t="str">
        <f t="shared" ref="AB76:AB80" si="10">IFERROR(ROUND(EXP(2.71-0.812*LN(V76)-0.654*LN(AA76)),4),"")</f>
        <v/>
      </c>
      <c r="AC76" s="158" t="str">
        <f t="shared" si="7"/>
        <v/>
      </c>
      <c r="AD76" s="159" t="str">
        <f t="shared" ref="AD76:AD80" si="11">IFERROR(ROUND(W76*X76*AC76/1000,1),"")</f>
        <v/>
      </c>
      <c r="AG76" s="84"/>
      <c r="AH76" s="86">
        <v>0</v>
      </c>
      <c r="AI76" s="86">
        <v>500</v>
      </c>
      <c r="AJ76" s="84"/>
      <c r="AK76" s="84"/>
    </row>
    <row r="77" spans="17:40" ht="15" customHeight="1" thickBot="1" x14ac:dyDescent="0.2">
      <c r="Q77" s="480"/>
      <c r="R77" s="423"/>
      <c r="S77" s="424"/>
      <c r="T77" s="425"/>
      <c r="U77" s="426"/>
      <c r="V77" s="427"/>
      <c r="W77" s="428"/>
      <c r="X77" s="428"/>
      <c r="Y77" s="334" t="str">
        <f t="shared" si="5"/>
        <v/>
      </c>
      <c r="Z77" s="335"/>
      <c r="AA77" s="156">
        <f t="shared" si="9"/>
        <v>500</v>
      </c>
      <c r="AB77" s="157" t="str">
        <f t="shared" si="10"/>
        <v/>
      </c>
      <c r="AC77" s="158" t="str">
        <f t="shared" si="7"/>
        <v/>
      </c>
      <c r="AD77" s="159" t="str">
        <f t="shared" si="11"/>
        <v/>
      </c>
      <c r="AG77" s="84"/>
      <c r="AH77" s="86">
        <v>1000</v>
      </c>
      <c r="AI77" s="86">
        <v>1500</v>
      </c>
      <c r="AJ77" s="84"/>
      <c r="AK77" s="84"/>
      <c r="AN77" s="277"/>
    </row>
    <row r="78" spans="17:40" ht="15" customHeight="1" thickBot="1" x14ac:dyDescent="0.2">
      <c r="Q78" s="480"/>
      <c r="R78" s="423"/>
      <c r="S78" s="424"/>
      <c r="T78" s="425"/>
      <c r="U78" s="426"/>
      <c r="V78" s="427"/>
      <c r="W78" s="428"/>
      <c r="X78" s="428"/>
      <c r="Y78" s="334" t="str">
        <f t="shared" si="5"/>
        <v/>
      </c>
      <c r="Z78" s="335"/>
      <c r="AA78" s="156">
        <f t="shared" si="9"/>
        <v>500</v>
      </c>
      <c r="AB78" s="157" t="str">
        <f t="shared" si="10"/>
        <v/>
      </c>
      <c r="AC78" s="158" t="str">
        <f t="shared" si="7"/>
        <v/>
      </c>
      <c r="AD78" s="159" t="str">
        <f t="shared" si="11"/>
        <v/>
      </c>
      <c r="AG78" s="84"/>
      <c r="AH78" s="86">
        <v>2000</v>
      </c>
      <c r="AI78" s="86">
        <v>3000</v>
      </c>
      <c r="AJ78" s="84"/>
      <c r="AK78" s="84"/>
    </row>
    <row r="79" spans="17:40" ht="15" customHeight="1" thickBot="1" x14ac:dyDescent="0.2">
      <c r="Q79" s="480"/>
      <c r="R79" s="423"/>
      <c r="S79" s="424"/>
      <c r="T79" s="425"/>
      <c r="U79" s="426"/>
      <c r="V79" s="427"/>
      <c r="W79" s="428"/>
      <c r="X79" s="428"/>
      <c r="Y79" s="334" t="str">
        <f t="shared" si="5"/>
        <v/>
      </c>
      <c r="Z79" s="335"/>
      <c r="AA79" s="156">
        <f t="shared" si="9"/>
        <v>500</v>
      </c>
      <c r="AB79" s="157" t="str">
        <f t="shared" si="10"/>
        <v/>
      </c>
      <c r="AC79" s="158" t="str">
        <f t="shared" si="7"/>
        <v/>
      </c>
      <c r="AD79" s="159" t="str">
        <f t="shared" si="11"/>
        <v/>
      </c>
      <c r="AG79" s="84"/>
      <c r="AH79" s="86">
        <v>4000</v>
      </c>
      <c r="AI79" s="86">
        <v>5000</v>
      </c>
      <c r="AJ79" s="84"/>
      <c r="AK79" s="84"/>
    </row>
    <row r="80" spans="17:40" ht="15" customHeight="1" thickBot="1" x14ac:dyDescent="0.2">
      <c r="Q80" s="480"/>
      <c r="R80" s="435"/>
      <c r="S80" s="436"/>
      <c r="T80" s="437"/>
      <c r="U80" s="438"/>
      <c r="V80" s="439"/>
      <c r="W80" s="440"/>
      <c r="X80" s="440"/>
      <c r="Y80" s="336" t="str">
        <f t="shared" si="5"/>
        <v/>
      </c>
      <c r="Z80" s="335"/>
      <c r="AA80" s="156">
        <f t="shared" si="9"/>
        <v>500</v>
      </c>
      <c r="AB80" s="157" t="str">
        <f t="shared" si="10"/>
        <v/>
      </c>
      <c r="AC80" s="158" t="str">
        <f t="shared" si="7"/>
        <v/>
      </c>
      <c r="AD80" s="159" t="str">
        <f t="shared" si="11"/>
        <v/>
      </c>
      <c r="AG80" s="84"/>
      <c r="AH80" s="86">
        <v>6000</v>
      </c>
      <c r="AI80" s="86">
        <v>7000</v>
      </c>
      <c r="AJ80" s="84"/>
      <c r="AK80" s="84"/>
    </row>
    <row r="81" spans="17:37" ht="15" customHeight="1" thickBot="1" x14ac:dyDescent="0.2">
      <c r="Q81" s="482"/>
      <c r="R81" s="371"/>
      <c r="S81" s="374" t="s">
        <v>82</v>
      </c>
      <c r="T81" s="373"/>
      <c r="U81" s="330"/>
      <c r="V81" s="330"/>
      <c r="W81" s="330"/>
      <c r="X81" s="342" t="s">
        <v>40</v>
      </c>
      <c r="Y81" s="340">
        <f>ROUND(AD81,0)</f>
        <v>0</v>
      </c>
      <c r="Z81" s="335"/>
      <c r="AA81" s="168"/>
      <c r="AB81" s="169"/>
      <c r="AC81" s="170"/>
      <c r="AD81" s="160">
        <f>SUM(AD75:AD80)</f>
        <v>0</v>
      </c>
      <c r="AG81" s="84"/>
      <c r="AH81" s="86">
        <v>8000</v>
      </c>
      <c r="AI81" s="86">
        <v>9000</v>
      </c>
      <c r="AJ81" s="84"/>
      <c r="AK81" s="84"/>
    </row>
    <row r="82" spans="17:37" x14ac:dyDescent="0.15">
      <c r="R82" s="378"/>
      <c r="S82" s="379"/>
      <c r="T82" s="379"/>
      <c r="U82" s="335"/>
      <c r="V82" s="335"/>
      <c r="W82" s="335"/>
      <c r="X82" s="335"/>
      <c r="Y82" s="344" t="s">
        <v>193</v>
      </c>
      <c r="Z82" s="335"/>
      <c r="AA82" s="27"/>
      <c r="AB82" s="27"/>
      <c r="AC82" s="27"/>
      <c r="AD82" s="27"/>
      <c r="AE82" s="29"/>
      <c r="AF82" s="32"/>
      <c r="AG82" s="84"/>
      <c r="AH82" s="86">
        <v>10000</v>
      </c>
      <c r="AI82" s="86">
        <v>11000</v>
      </c>
      <c r="AJ82" s="84"/>
      <c r="AK82" s="84"/>
    </row>
    <row r="83" spans="17:37" ht="17.25" x14ac:dyDescent="0.15">
      <c r="Q83" s="33" t="s">
        <v>199</v>
      </c>
      <c r="R83" s="380"/>
      <c r="S83" s="379"/>
      <c r="T83" s="379"/>
      <c r="U83" s="335"/>
      <c r="V83" s="335"/>
      <c r="W83" s="335"/>
      <c r="X83" s="335"/>
      <c r="Y83" s="335"/>
      <c r="Z83" s="335"/>
      <c r="AA83" s="27"/>
      <c r="AB83" s="27"/>
      <c r="AC83" s="27"/>
      <c r="AD83" s="27"/>
      <c r="AE83" s="29"/>
      <c r="AF83" s="32"/>
      <c r="AG83" s="84"/>
      <c r="AH83" s="86">
        <v>12000</v>
      </c>
      <c r="AI83" s="86">
        <v>14500</v>
      </c>
      <c r="AJ83" s="84"/>
      <c r="AK83" s="84"/>
    </row>
    <row r="84" spans="17:37" ht="13.15" customHeight="1" x14ac:dyDescent="0.15">
      <c r="Q84" s="466" t="s">
        <v>59</v>
      </c>
      <c r="R84" s="476" t="s">
        <v>60</v>
      </c>
      <c r="S84" s="476" t="s">
        <v>5</v>
      </c>
      <c r="T84" s="500" t="s">
        <v>61</v>
      </c>
      <c r="U84" s="502" t="s">
        <v>88</v>
      </c>
      <c r="V84" s="502"/>
      <c r="W84" s="502"/>
      <c r="X84" s="329" t="s">
        <v>63</v>
      </c>
      <c r="Y84" s="345"/>
      <c r="Z84" s="2"/>
      <c r="AA84" s="27"/>
      <c r="AB84" s="27"/>
      <c r="AC84" s="27"/>
      <c r="AD84" s="27"/>
      <c r="AE84" s="29"/>
      <c r="AF84" s="32"/>
      <c r="AG84" s="84"/>
      <c r="AH84" s="86">
        <v>17000</v>
      </c>
      <c r="AI84" s="86">
        <v>18500</v>
      </c>
      <c r="AJ84" s="84"/>
      <c r="AK84" s="84"/>
    </row>
    <row r="85" spans="17:37" ht="15" customHeight="1" thickBot="1" x14ac:dyDescent="0.2">
      <c r="Q85" s="467"/>
      <c r="R85" s="477"/>
      <c r="S85" s="478"/>
      <c r="T85" s="501"/>
      <c r="U85" s="502"/>
      <c r="V85" s="502"/>
      <c r="W85" s="502"/>
      <c r="X85" s="329" t="s">
        <v>198</v>
      </c>
      <c r="Y85" s="329" t="s">
        <v>30</v>
      </c>
      <c r="Z85" s="2"/>
      <c r="AA85" s="27"/>
      <c r="AB85" s="27"/>
      <c r="AC85" s="84" t="s">
        <v>70</v>
      </c>
      <c r="AD85" s="155" t="s">
        <v>30</v>
      </c>
      <c r="AE85" s="29"/>
      <c r="AF85" s="32"/>
      <c r="AG85" s="84"/>
      <c r="AJ85" s="84"/>
      <c r="AK85" s="84"/>
    </row>
    <row r="86" spans="17:37" ht="15" customHeight="1" thickBot="1" x14ac:dyDescent="0.2">
      <c r="Q86" s="479" t="s">
        <v>72</v>
      </c>
      <c r="R86" s="441"/>
      <c r="S86" s="442"/>
      <c r="T86" s="443"/>
      <c r="U86" s="490"/>
      <c r="V86" s="491"/>
      <c r="W86" s="492"/>
      <c r="X86" s="444"/>
      <c r="Y86" s="347"/>
      <c r="Z86" s="2"/>
      <c r="AA86" s="27"/>
      <c r="AB86" s="27"/>
      <c r="AC86" s="37" t="str">
        <f>IFERROR(VLOOKUP(U86,入出力データ!$B$10:$D$18,3),"")</f>
        <v/>
      </c>
      <c r="AD86" s="181" t="str">
        <f>IFERROR(X86*AC86,"")</f>
        <v/>
      </c>
      <c r="AE86" s="29"/>
      <c r="AF86" s="32"/>
    </row>
    <row r="87" spans="17:37" ht="15" customHeight="1" thickBot="1" x14ac:dyDescent="0.2">
      <c r="Q87" s="480"/>
      <c r="R87" s="445"/>
      <c r="S87" s="446"/>
      <c r="T87" s="443"/>
      <c r="U87" s="490"/>
      <c r="V87" s="491"/>
      <c r="W87" s="492"/>
      <c r="X87" s="447"/>
      <c r="Y87" s="334"/>
      <c r="Z87" s="2"/>
      <c r="AA87" s="27"/>
      <c r="AB87" s="27"/>
      <c r="AC87" s="37" t="str">
        <f>IFERROR(VLOOKUP(U87,入出力データ!$B$10:$D$18,3),"")</f>
        <v/>
      </c>
      <c r="AD87" s="181" t="str">
        <f t="shared" ref="AD87:AD98" si="12">IFERROR(X87*AC87,"")</f>
        <v/>
      </c>
      <c r="AE87" s="29"/>
      <c r="AF87" s="32"/>
      <c r="AG87" s="84"/>
      <c r="AH87" s="86"/>
      <c r="AI87" s="86"/>
      <c r="AJ87" s="84"/>
      <c r="AK87" s="84"/>
    </row>
    <row r="88" spans="17:37" ht="15" customHeight="1" thickBot="1" x14ac:dyDescent="0.2">
      <c r="Q88" s="480"/>
      <c r="R88" s="441"/>
      <c r="S88" s="446"/>
      <c r="T88" s="443"/>
      <c r="U88" s="490"/>
      <c r="V88" s="491"/>
      <c r="W88" s="492"/>
      <c r="X88" s="447"/>
      <c r="Y88" s="334"/>
      <c r="Z88" s="2"/>
      <c r="AA88" s="27"/>
      <c r="AB88" s="27"/>
      <c r="AC88" s="37" t="str">
        <f>IFERROR(VLOOKUP(U88,入出力データ!$B$10:$D$18,3),"")</f>
        <v/>
      </c>
      <c r="AD88" s="181" t="str">
        <f t="shared" si="12"/>
        <v/>
      </c>
      <c r="AE88" s="29"/>
      <c r="AF88" s="32"/>
      <c r="AG88" s="84"/>
      <c r="AH88" s="86"/>
      <c r="AI88" s="86"/>
      <c r="AJ88" s="84"/>
      <c r="AK88" s="84"/>
    </row>
    <row r="89" spans="17:37" ht="15" customHeight="1" thickBot="1" x14ac:dyDescent="0.2">
      <c r="Q89" s="480"/>
      <c r="R89" s="445"/>
      <c r="S89" s="446"/>
      <c r="T89" s="443"/>
      <c r="U89" s="490"/>
      <c r="V89" s="491"/>
      <c r="W89" s="492"/>
      <c r="X89" s="447"/>
      <c r="Y89" s="334"/>
      <c r="Z89" s="2"/>
      <c r="AA89" s="27"/>
      <c r="AB89" s="27"/>
      <c r="AC89" s="37" t="str">
        <f>IFERROR(VLOOKUP(U89,入出力データ!$B$10:$D$18,3),"")</f>
        <v/>
      </c>
      <c r="AD89" s="181" t="str">
        <f t="shared" si="12"/>
        <v/>
      </c>
      <c r="AE89" s="29"/>
      <c r="AF89" s="32"/>
      <c r="AG89" s="84"/>
      <c r="AH89" s="86"/>
      <c r="AI89" s="86"/>
      <c r="AJ89" s="84"/>
      <c r="AK89" s="84"/>
    </row>
    <row r="90" spans="17:37" ht="15" customHeight="1" thickBot="1" x14ac:dyDescent="0.2">
      <c r="Q90" s="480"/>
      <c r="R90" s="441"/>
      <c r="S90" s="446"/>
      <c r="T90" s="443"/>
      <c r="U90" s="490"/>
      <c r="V90" s="491"/>
      <c r="W90" s="492"/>
      <c r="X90" s="447"/>
      <c r="Y90" s="334"/>
      <c r="Z90" s="2"/>
      <c r="AA90" s="27"/>
      <c r="AB90" s="27"/>
      <c r="AC90" s="37" t="str">
        <f>IFERROR(VLOOKUP(U90,入出力データ!$B$10:$D$18,3),"")</f>
        <v/>
      </c>
      <c r="AD90" s="181" t="str">
        <f t="shared" si="12"/>
        <v/>
      </c>
      <c r="AE90" s="29"/>
      <c r="AF90" s="32"/>
      <c r="AG90" s="84"/>
      <c r="AH90" s="86"/>
      <c r="AI90" s="86"/>
      <c r="AJ90" s="84"/>
      <c r="AK90" s="84"/>
    </row>
    <row r="91" spans="17:37" ht="15" customHeight="1" thickBot="1" x14ac:dyDescent="0.2">
      <c r="Q91" s="480"/>
      <c r="R91" s="445"/>
      <c r="S91" s="446"/>
      <c r="T91" s="443"/>
      <c r="U91" s="490"/>
      <c r="V91" s="491"/>
      <c r="W91" s="492"/>
      <c r="X91" s="447"/>
      <c r="Y91" s="334"/>
      <c r="Z91" s="2"/>
      <c r="AA91" s="27"/>
      <c r="AB91" s="27"/>
      <c r="AC91" s="37" t="str">
        <f>IFERROR(VLOOKUP(U91,入出力データ!$B$10:$D$18,3),"")</f>
        <v/>
      </c>
      <c r="AD91" s="181" t="str">
        <f t="shared" si="12"/>
        <v/>
      </c>
      <c r="AE91" s="29"/>
      <c r="AF91" s="32"/>
      <c r="AG91" s="84"/>
      <c r="AH91" s="86"/>
      <c r="AI91" s="86"/>
      <c r="AJ91" s="84"/>
      <c r="AK91" s="84"/>
    </row>
    <row r="92" spans="17:37" ht="15" customHeight="1" thickBot="1" x14ac:dyDescent="0.2">
      <c r="Q92" s="481"/>
      <c r="R92" s="384"/>
      <c r="S92" s="376" t="s">
        <v>82</v>
      </c>
      <c r="T92" s="385"/>
      <c r="U92" s="497"/>
      <c r="V92" s="498"/>
      <c r="W92" s="499"/>
      <c r="X92" s="339" t="s">
        <v>31</v>
      </c>
      <c r="Y92" s="340">
        <f>ROUND(AD92,0)</f>
        <v>0</v>
      </c>
      <c r="Z92" s="2"/>
      <c r="AA92" s="27"/>
      <c r="AB92" s="27"/>
      <c r="AC92" s="280"/>
      <c r="AD92" s="179">
        <f>SUM(AD86:AD91)</f>
        <v>0</v>
      </c>
      <c r="AE92" s="29"/>
      <c r="AF92" s="32"/>
      <c r="AG92" s="84"/>
      <c r="AH92" s="86"/>
      <c r="AI92" s="86"/>
      <c r="AJ92" s="84"/>
      <c r="AK92" s="84"/>
    </row>
    <row r="93" spans="17:37" ht="15" customHeight="1" thickTop="1" thickBot="1" x14ac:dyDescent="0.2">
      <c r="Q93" s="480" t="s">
        <v>83</v>
      </c>
      <c r="R93" s="445"/>
      <c r="S93" s="442"/>
      <c r="T93" s="442"/>
      <c r="U93" s="490"/>
      <c r="V93" s="491"/>
      <c r="W93" s="492"/>
      <c r="X93" s="448"/>
      <c r="Y93" s="349"/>
      <c r="Z93" s="2"/>
      <c r="AA93" s="27"/>
      <c r="AB93" s="27"/>
      <c r="AC93" s="279" t="str">
        <f>IFERROR(VLOOKUP(U93,入出力データ!$B$10:$D$18,3),"")</f>
        <v/>
      </c>
      <c r="AD93" s="181" t="str">
        <f t="shared" si="12"/>
        <v/>
      </c>
      <c r="AE93" s="29"/>
      <c r="AF93" s="32"/>
      <c r="AG93" s="84"/>
      <c r="AH93" s="86"/>
      <c r="AI93" s="86"/>
      <c r="AJ93" s="84"/>
      <c r="AK93" s="84"/>
    </row>
    <row r="94" spans="17:37" ht="15" customHeight="1" thickBot="1" x14ac:dyDescent="0.2">
      <c r="Q94" s="480"/>
      <c r="R94" s="445"/>
      <c r="S94" s="442"/>
      <c r="T94" s="442"/>
      <c r="U94" s="490"/>
      <c r="V94" s="491"/>
      <c r="W94" s="492"/>
      <c r="X94" s="448"/>
      <c r="Y94" s="349"/>
      <c r="Z94" s="2"/>
      <c r="AA94" s="27"/>
      <c r="AB94" s="27"/>
      <c r="AC94" s="37" t="str">
        <f>IFERROR(VLOOKUP(U94,入出力データ!$B$10:$D$18,3),"")</f>
        <v/>
      </c>
      <c r="AD94" s="181" t="str">
        <f t="shared" si="12"/>
        <v/>
      </c>
      <c r="AE94" s="29"/>
      <c r="AF94" s="32"/>
      <c r="AG94" s="84"/>
      <c r="AH94" s="86"/>
      <c r="AI94" s="86"/>
      <c r="AJ94" s="84"/>
      <c r="AK94" s="84"/>
    </row>
    <row r="95" spans="17:37" ht="15" customHeight="1" thickBot="1" x14ac:dyDescent="0.2">
      <c r="Q95" s="480"/>
      <c r="R95" s="445"/>
      <c r="S95" s="442"/>
      <c r="T95" s="442"/>
      <c r="U95" s="490"/>
      <c r="V95" s="491"/>
      <c r="W95" s="492"/>
      <c r="X95" s="448"/>
      <c r="Y95" s="349"/>
      <c r="Z95" s="2"/>
      <c r="AA95" s="27"/>
      <c r="AB95" s="27"/>
      <c r="AC95" s="37" t="str">
        <f>IFERROR(VLOOKUP(U95,入出力データ!$B$10:$D$18,3),"")</f>
        <v/>
      </c>
      <c r="AD95" s="181" t="str">
        <f t="shared" si="12"/>
        <v/>
      </c>
      <c r="AE95" s="29"/>
      <c r="AF95" s="32"/>
      <c r="AG95" s="84"/>
      <c r="AH95" s="86"/>
      <c r="AI95" s="86"/>
      <c r="AJ95" s="84"/>
      <c r="AK95" s="84"/>
    </row>
    <row r="96" spans="17:37" ht="15" customHeight="1" thickBot="1" x14ac:dyDescent="0.2">
      <c r="Q96" s="480"/>
      <c r="R96" s="445"/>
      <c r="S96" s="442"/>
      <c r="T96" s="442"/>
      <c r="U96" s="490"/>
      <c r="V96" s="491"/>
      <c r="W96" s="492"/>
      <c r="X96" s="448"/>
      <c r="Y96" s="349"/>
      <c r="Z96" s="2"/>
      <c r="AA96" s="27"/>
      <c r="AB96" s="27"/>
      <c r="AC96" s="37" t="str">
        <f>IFERROR(VLOOKUP(U96,入出力データ!$B$10:$D$18,3),"")</f>
        <v/>
      </c>
      <c r="AD96" s="181" t="str">
        <f t="shared" si="12"/>
        <v/>
      </c>
      <c r="AE96" s="29"/>
      <c r="AF96" s="32"/>
      <c r="AG96" s="84"/>
      <c r="AH96" s="86"/>
      <c r="AI96" s="86"/>
      <c r="AJ96" s="84"/>
      <c r="AK96" s="84"/>
    </row>
    <row r="97" spans="17:37" ht="14.25" customHeight="1" thickBot="1" x14ac:dyDescent="0.2">
      <c r="Q97" s="480"/>
      <c r="R97" s="445"/>
      <c r="S97" s="446"/>
      <c r="T97" s="443"/>
      <c r="U97" s="490"/>
      <c r="V97" s="491"/>
      <c r="W97" s="492"/>
      <c r="X97" s="447"/>
      <c r="Y97" s="334"/>
      <c r="Z97" s="2"/>
      <c r="AA97" s="27"/>
      <c r="AB97" s="27"/>
      <c r="AC97" s="37" t="str">
        <f>IFERROR(VLOOKUP(U97,入出力データ!$B$10:$D$18,3),"")</f>
        <v/>
      </c>
      <c r="AD97" s="181" t="str">
        <f t="shared" si="12"/>
        <v/>
      </c>
      <c r="AE97" s="29"/>
      <c r="AF97" s="32"/>
      <c r="AG97" s="84"/>
      <c r="AH97" s="86"/>
      <c r="AI97" s="86"/>
      <c r="AJ97" s="84"/>
      <c r="AK97" s="84"/>
    </row>
    <row r="98" spans="17:37" ht="15" customHeight="1" thickBot="1" x14ac:dyDescent="0.2">
      <c r="Q98" s="480"/>
      <c r="R98" s="445"/>
      <c r="S98" s="446"/>
      <c r="T98" s="443"/>
      <c r="U98" s="490"/>
      <c r="V98" s="491"/>
      <c r="W98" s="492"/>
      <c r="X98" s="447"/>
      <c r="Y98" s="334"/>
      <c r="Z98" s="2"/>
      <c r="AA98" s="27"/>
      <c r="AB98" s="27"/>
      <c r="AC98" s="37" t="str">
        <f>IFERROR(VLOOKUP(U98,入出力データ!$B$10:$D$18,3),"")</f>
        <v/>
      </c>
      <c r="AD98" s="181" t="str">
        <f t="shared" si="12"/>
        <v/>
      </c>
      <c r="AE98" s="29"/>
      <c r="AF98" s="32"/>
      <c r="AG98" s="84"/>
      <c r="AI98" s="84"/>
      <c r="AJ98" s="84"/>
      <c r="AK98" s="84"/>
    </row>
    <row r="99" spans="17:37" ht="15" customHeight="1" thickBot="1" x14ac:dyDescent="0.2">
      <c r="Q99" s="482"/>
      <c r="R99" s="381"/>
      <c r="S99" s="374" t="s">
        <v>82</v>
      </c>
      <c r="T99" s="383"/>
      <c r="U99" s="503"/>
      <c r="V99" s="503"/>
      <c r="W99" s="503"/>
      <c r="X99" s="342" t="s">
        <v>40</v>
      </c>
      <c r="Y99" s="340">
        <f>ROUND(AD99,0)</f>
        <v>0</v>
      </c>
      <c r="Z99" s="2"/>
      <c r="AA99" s="27"/>
      <c r="AB99" s="27"/>
      <c r="AC99" s="283"/>
      <c r="AD99" s="179">
        <f>SUM(AD93:AD98)</f>
        <v>0</v>
      </c>
      <c r="AE99" s="29"/>
      <c r="AF99" s="32"/>
      <c r="AG99" s="84"/>
      <c r="AH99" s="84"/>
      <c r="AI99" s="84"/>
      <c r="AJ99" s="84"/>
      <c r="AK99" s="84"/>
    </row>
    <row r="100" spans="17:37" x14ac:dyDescent="0.15">
      <c r="R100" s="378"/>
      <c r="S100" s="379"/>
      <c r="T100" s="379"/>
      <c r="U100" s="335"/>
      <c r="V100" s="335"/>
      <c r="W100" s="335"/>
      <c r="X100" s="335"/>
      <c r="Y100" s="335"/>
      <c r="Z100" s="335"/>
      <c r="AA100" s="27"/>
      <c r="AB100" s="27"/>
      <c r="AC100" s="27"/>
      <c r="AD100" s="27"/>
      <c r="AE100" s="29"/>
      <c r="AF100" s="32"/>
      <c r="AG100" s="84"/>
      <c r="AH100" s="84"/>
      <c r="AI100" s="84"/>
      <c r="AJ100" s="84"/>
      <c r="AK100" s="84"/>
    </row>
    <row r="101" spans="17:37" ht="17.25" x14ac:dyDescent="0.15">
      <c r="Q101" s="33" t="s">
        <v>197</v>
      </c>
      <c r="R101" s="380"/>
      <c r="S101" s="379"/>
      <c r="T101" s="379"/>
      <c r="U101" s="335"/>
      <c r="V101" s="335"/>
      <c r="W101" s="335"/>
      <c r="X101" s="335"/>
      <c r="Y101" s="335"/>
      <c r="Z101" s="335"/>
      <c r="AA101" s="27"/>
      <c r="AB101" s="27"/>
      <c r="AC101" s="27"/>
      <c r="AD101" s="27"/>
      <c r="AE101" s="29"/>
      <c r="AF101" s="32"/>
      <c r="AG101" s="84"/>
      <c r="AH101" s="84"/>
      <c r="AI101" s="84"/>
      <c r="AJ101" s="84"/>
      <c r="AK101" s="84"/>
    </row>
    <row r="102" spans="17:37" x14ac:dyDescent="0.15">
      <c r="Q102" s="466" t="s">
        <v>59</v>
      </c>
      <c r="R102" s="476" t="s">
        <v>60</v>
      </c>
      <c r="S102" s="476" t="s">
        <v>5</v>
      </c>
      <c r="T102" s="476" t="s">
        <v>61</v>
      </c>
      <c r="U102" s="484" t="s">
        <v>88</v>
      </c>
      <c r="V102" s="485"/>
      <c r="W102" s="486"/>
      <c r="X102" s="329" t="s">
        <v>63</v>
      </c>
      <c r="Y102" s="345"/>
      <c r="Z102" s="335"/>
      <c r="AA102" s="27"/>
      <c r="AB102" s="27"/>
      <c r="AC102" s="27"/>
      <c r="AD102" s="27"/>
      <c r="AE102" s="29"/>
      <c r="AF102" s="32"/>
      <c r="AG102" s="84"/>
      <c r="AH102" s="84"/>
      <c r="AI102" s="84"/>
      <c r="AJ102" s="84"/>
      <c r="AK102" s="84"/>
    </row>
    <row r="103" spans="17:37" ht="15" customHeight="1" thickBot="1" x14ac:dyDescent="0.2">
      <c r="Q103" s="467"/>
      <c r="R103" s="477"/>
      <c r="S103" s="478"/>
      <c r="T103" s="483"/>
      <c r="U103" s="487"/>
      <c r="V103" s="488"/>
      <c r="W103" s="489"/>
      <c r="X103" s="329" t="s">
        <v>198</v>
      </c>
      <c r="Y103" s="329" t="s">
        <v>30</v>
      </c>
      <c r="Z103" s="335"/>
      <c r="AA103" s="27"/>
      <c r="AB103" s="27"/>
      <c r="AC103" s="27"/>
      <c r="AD103" s="27"/>
      <c r="AE103" s="29"/>
      <c r="AF103" s="32"/>
      <c r="AG103" s="84"/>
      <c r="AH103" s="84"/>
      <c r="AI103" s="84"/>
      <c r="AJ103" s="84"/>
      <c r="AK103" s="84"/>
    </row>
    <row r="104" spans="17:37" ht="15" customHeight="1" thickBot="1" x14ac:dyDescent="0.2">
      <c r="Q104" s="479" t="s">
        <v>72</v>
      </c>
      <c r="R104" s="423"/>
      <c r="S104" s="449"/>
      <c r="T104" s="450"/>
      <c r="U104" s="490"/>
      <c r="V104" s="491"/>
      <c r="W104" s="492"/>
      <c r="X104" s="444"/>
      <c r="Y104" s="347"/>
      <c r="Z104" s="335"/>
      <c r="AA104" s="27"/>
      <c r="AB104" s="27"/>
      <c r="AC104" s="37" t="str">
        <f>IFERROR(VLOOKUP(U104,入出力データ!$B$10:$D$18,3),"")</f>
        <v/>
      </c>
      <c r="AD104" s="181" t="str">
        <f>IFERROR(X104*AC104,"")</f>
        <v/>
      </c>
      <c r="AE104" s="29"/>
      <c r="AF104" s="32"/>
      <c r="AG104" s="84"/>
      <c r="AH104" s="84"/>
      <c r="AI104" s="84"/>
      <c r="AJ104" s="84"/>
      <c r="AK104" s="84"/>
    </row>
    <row r="105" spans="17:37" ht="15" customHeight="1" thickBot="1" x14ac:dyDescent="0.2">
      <c r="Q105" s="480"/>
      <c r="R105" s="423"/>
      <c r="S105" s="449"/>
      <c r="T105" s="450"/>
      <c r="U105" s="490"/>
      <c r="V105" s="491"/>
      <c r="W105" s="492"/>
      <c r="X105" s="444"/>
      <c r="Y105" s="334"/>
      <c r="Z105" s="335"/>
      <c r="AA105" s="27"/>
      <c r="AB105" s="27"/>
      <c r="AC105" s="37" t="str">
        <f>IFERROR(VLOOKUP(U105,入出力データ!$B$10:$D$18,3),"")</f>
        <v/>
      </c>
      <c r="AD105" s="181" t="str">
        <f t="shared" ref="AD105:AD109" si="13">IFERROR(X105*AC105,"")</f>
        <v/>
      </c>
      <c r="AE105" s="29"/>
      <c r="AF105" s="32"/>
      <c r="AG105" s="84"/>
      <c r="AH105" s="84"/>
      <c r="AI105" s="84"/>
      <c r="AJ105" s="84"/>
      <c r="AK105" s="84"/>
    </row>
    <row r="106" spans="17:37" ht="15" customHeight="1" thickBot="1" x14ac:dyDescent="0.2">
      <c r="Q106" s="480"/>
      <c r="R106" s="423"/>
      <c r="S106" s="449"/>
      <c r="T106" s="450"/>
      <c r="U106" s="490"/>
      <c r="V106" s="491"/>
      <c r="W106" s="492"/>
      <c r="X106" s="444"/>
      <c r="Y106" s="334"/>
      <c r="Z106" s="335"/>
      <c r="AA106" s="27"/>
      <c r="AB106" s="27"/>
      <c r="AC106" s="37" t="str">
        <f>IFERROR(VLOOKUP(U106,入出力データ!$B$10:$D$18,3),"")</f>
        <v/>
      </c>
      <c r="AD106" s="181" t="str">
        <f t="shared" si="13"/>
        <v/>
      </c>
      <c r="AE106" s="29"/>
      <c r="AF106" s="32"/>
      <c r="AG106" s="84"/>
      <c r="AH106" s="84"/>
      <c r="AI106" s="84"/>
      <c r="AJ106" s="84"/>
      <c r="AK106" s="84"/>
    </row>
    <row r="107" spans="17:37" ht="15" customHeight="1" thickBot="1" x14ac:dyDescent="0.2">
      <c r="Q107" s="480"/>
      <c r="R107" s="423"/>
      <c r="S107" s="449"/>
      <c r="T107" s="450"/>
      <c r="U107" s="490"/>
      <c r="V107" s="491"/>
      <c r="W107" s="492"/>
      <c r="X107" s="444"/>
      <c r="Y107" s="334"/>
      <c r="Z107" s="335"/>
      <c r="AA107" s="27"/>
      <c r="AB107" s="27"/>
      <c r="AC107" s="37" t="str">
        <f>IFERROR(VLOOKUP(U107,入出力データ!$B$10:$D$18,3),"")</f>
        <v/>
      </c>
      <c r="AD107" s="181" t="str">
        <f t="shared" si="13"/>
        <v/>
      </c>
      <c r="AE107" s="29"/>
      <c r="AF107" s="32"/>
      <c r="AG107" s="84"/>
      <c r="AH107" s="84"/>
      <c r="AI107" s="84"/>
      <c r="AJ107" s="84"/>
      <c r="AK107" s="84"/>
    </row>
    <row r="108" spans="17:37" ht="15" customHeight="1" thickBot="1" x14ac:dyDescent="0.2">
      <c r="Q108" s="480"/>
      <c r="R108" s="423"/>
      <c r="S108" s="449"/>
      <c r="T108" s="450"/>
      <c r="U108" s="490"/>
      <c r="V108" s="491"/>
      <c r="W108" s="492"/>
      <c r="X108" s="444"/>
      <c r="Y108" s="334"/>
      <c r="Z108" s="335"/>
      <c r="AA108" s="27"/>
      <c r="AB108" s="27"/>
      <c r="AC108" s="37" t="str">
        <f>IFERROR(VLOOKUP(U108,入出力データ!$B$10:$D$18,3),"")</f>
        <v/>
      </c>
      <c r="AD108" s="181" t="str">
        <f t="shared" si="13"/>
        <v/>
      </c>
      <c r="AF108" s="32"/>
      <c r="AG108" s="84"/>
      <c r="AH108" s="84"/>
      <c r="AI108" s="84"/>
      <c r="AJ108" s="84"/>
      <c r="AK108" s="84"/>
    </row>
    <row r="109" spans="17:37" ht="15" customHeight="1" thickBot="1" x14ac:dyDescent="0.2">
      <c r="Q109" s="480"/>
      <c r="R109" s="423"/>
      <c r="S109" s="449"/>
      <c r="T109" s="450"/>
      <c r="U109" s="490"/>
      <c r="V109" s="491"/>
      <c r="W109" s="492"/>
      <c r="X109" s="444"/>
      <c r="Y109" s="334"/>
      <c r="Z109" s="335"/>
      <c r="AA109" s="27"/>
      <c r="AB109" s="27"/>
      <c r="AC109" s="37" t="str">
        <f>IFERROR(VLOOKUP(U109,入出力データ!$B$10:$D$18,3),"")</f>
        <v/>
      </c>
      <c r="AD109" s="181" t="str">
        <f t="shared" si="13"/>
        <v/>
      </c>
      <c r="AF109" s="32"/>
      <c r="AG109" s="84"/>
      <c r="AH109" s="84"/>
      <c r="AI109" s="84"/>
      <c r="AJ109" s="84"/>
      <c r="AK109" s="84"/>
    </row>
    <row r="110" spans="17:37" ht="15" customHeight="1" thickBot="1" x14ac:dyDescent="0.2">
      <c r="Q110" s="481"/>
      <c r="R110" s="375"/>
      <c r="S110" s="376" t="s">
        <v>82</v>
      </c>
      <c r="T110" s="387"/>
      <c r="U110" s="497"/>
      <c r="V110" s="498"/>
      <c r="W110" s="499"/>
      <c r="X110" s="350" t="s">
        <v>31</v>
      </c>
      <c r="Y110" s="340">
        <f>ROUND(AD110,0)</f>
        <v>0</v>
      </c>
      <c r="Z110" s="335"/>
      <c r="AA110" s="27"/>
      <c r="AB110" s="27"/>
      <c r="AC110" s="281"/>
      <c r="AD110" s="180">
        <f>SUM(AD104:AD109)</f>
        <v>0</v>
      </c>
      <c r="AF110" s="32"/>
      <c r="AG110" s="84"/>
      <c r="AH110" s="84"/>
      <c r="AI110" s="84"/>
      <c r="AJ110" s="84"/>
      <c r="AK110" s="84"/>
    </row>
    <row r="111" spans="17:37" ht="15" customHeight="1" thickTop="1" thickBot="1" x14ac:dyDescent="0.2">
      <c r="Q111" s="480" t="s">
        <v>83</v>
      </c>
      <c r="R111" s="430"/>
      <c r="S111" s="449"/>
      <c r="T111" s="450"/>
      <c r="U111" s="490"/>
      <c r="V111" s="491"/>
      <c r="W111" s="492"/>
      <c r="X111" s="451"/>
      <c r="Y111" s="351"/>
      <c r="Z111" s="335"/>
      <c r="AA111" s="27"/>
      <c r="AB111" s="27"/>
      <c r="AC111" s="167" t="str">
        <f>IFERROR(VLOOKUP(U111,入出力データ!$B$10:$D$18,3),"")</f>
        <v/>
      </c>
      <c r="AD111" s="181" t="str">
        <f>IFERROR(X111*AC111,"")</f>
        <v/>
      </c>
      <c r="AE111" s="29"/>
      <c r="AF111" s="32"/>
      <c r="AG111" s="32"/>
      <c r="AH111" s="27"/>
      <c r="AI111" s="27"/>
    </row>
    <row r="112" spans="17:37" ht="15" customHeight="1" thickBot="1" x14ac:dyDescent="0.2">
      <c r="Q112" s="480"/>
      <c r="R112" s="423"/>
      <c r="S112" s="449"/>
      <c r="T112" s="450"/>
      <c r="U112" s="490"/>
      <c r="V112" s="491"/>
      <c r="W112" s="492"/>
      <c r="X112" s="444"/>
      <c r="Y112" s="347"/>
      <c r="Z112" s="335"/>
      <c r="AA112" s="27"/>
      <c r="AB112" s="27"/>
      <c r="AC112" s="37" t="str">
        <f>IFERROR(VLOOKUP(U112,入出力データ!$B$10:$D$18,3),"")</f>
        <v/>
      </c>
      <c r="AD112" s="181" t="str">
        <f t="shared" ref="AD112:AD116" si="14">IFERROR(X112*AC112,"")</f>
        <v/>
      </c>
      <c r="AE112" s="29"/>
      <c r="AF112" s="32"/>
      <c r="AG112" s="32"/>
      <c r="AH112" s="27"/>
      <c r="AI112" s="27"/>
    </row>
    <row r="113" spans="17:35" ht="15" customHeight="1" thickBot="1" x14ac:dyDescent="0.2">
      <c r="Q113" s="480"/>
      <c r="R113" s="423"/>
      <c r="S113" s="449"/>
      <c r="T113" s="450"/>
      <c r="U113" s="490"/>
      <c r="V113" s="491"/>
      <c r="W113" s="492"/>
      <c r="X113" s="444"/>
      <c r="Y113" s="334"/>
      <c r="Z113" s="335"/>
      <c r="AA113" s="27"/>
      <c r="AB113" s="27"/>
      <c r="AC113" s="37" t="str">
        <f>IFERROR(VLOOKUP(U113,入出力データ!$B$10:$D$18,3),"")</f>
        <v/>
      </c>
      <c r="AD113" s="181" t="str">
        <f t="shared" si="14"/>
        <v/>
      </c>
      <c r="AE113" s="29"/>
      <c r="AF113" s="32"/>
      <c r="AG113" s="32"/>
      <c r="AH113" s="27"/>
      <c r="AI113" s="27"/>
    </row>
    <row r="114" spans="17:35" ht="15" customHeight="1" thickBot="1" x14ac:dyDescent="0.2">
      <c r="Q114" s="480"/>
      <c r="R114" s="423"/>
      <c r="S114" s="449"/>
      <c r="T114" s="450"/>
      <c r="U114" s="490"/>
      <c r="V114" s="491"/>
      <c r="W114" s="492"/>
      <c r="X114" s="444"/>
      <c r="Y114" s="334"/>
      <c r="Z114" s="335"/>
      <c r="AA114" s="27"/>
      <c r="AB114" s="27"/>
      <c r="AC114" s="37" t="str">
        <f>IFERROR(VLOOKUP(U114,入出力データ!$B$10:$D$18,3),"")</f>
        <v/>
      </c>
      <c r="AD114" s="181" t="str">
        <f t="shared" si="14"/>
        <v/>
      </c>
      <c r="AE114" s="29"/>
      <c r="AF114" s="32"/>
      <c r="AG114" s="32"/>
      <c r="AH114" s="27"/>
      <c r="AI114" s="27"/>
    </row>
    <row r="115" spans="17:35" ht="15" customHeight="1" thickBot="1" x14ac:dyDescent="0.2">
      <c r="Q115" s="480"/>
      <c r="R115" s="423"/>
      <c r="S115" s="449"/>
      <c r="T115" s="450"/>
      <c r="U115" s="490"/>
      <c r="V115" s="491"/>
      <c r="W115" s="492"/>
      <c r="X115" s="444"/>
      <c r="Y115" s="334"/>
      <c r="Z115" s="335"/>
      <c r="AA115" s="27"/>
      <c r="AB115" s="27"/>
      <c r="AC115" s="37" t="str">
        <f>IFERROR(VLOOKUP(U115,入出力データ!$B$10:$D$18,3),"")</f>
        <v/>
      </c>
      <c r="AD115" s="181" t="str">
        <f t="shared" si="14"/>
        <v/>
      </c>
      <c r="AF115" s="32"/>
      <c r="AG115" s="32"/>
      <c r="AH115" s="27"/>
      <c r="AI115" s="27"/>
    </row>
    <row r="116" spans="17:35" ht="15" customHeight="1" thickBot="1" x14ac:dyDescent="0.2">
      <c r="Q116" s="480"/>
      <c r="R116" s="423"/>
      <c r="S116" s="449"/>
      <c r="T116" s="450"/>
      <c r="U116" s="490"/>
      <c r="V116" s="491"/>
      <c r="W116" s="492"/>
      <c r="X116" s="444"/>
      <c r="Y116" s="334"/>
      <c r="Z116" s="335"/>
      <c r="AA116" s="27"/>
      <c r="AB116" s="27"/>
      <c r="AC116" s="37" t="str">
        <f>IFERROR(VLOOKUP(U116,入出力データ!$B$10:$D$18,3),"")</f>
        <v/>
      </c>
      <c r="AD116" s="181" t="str">
        <f t="shared" si="14"/>
        <v/>
      </c>
      <c r="AF116" s="32"/>
      <c r="AG116" s="32"/>
      <c r="AH116" s="27"/>
      <c r="AI116" s="27"/>
    </row>
    <row r="117" spans="17:35" ht="15" customHeight="1" thickBot="1" x14ac:dyDescent="0.2">
      <c r="Q117" s="482"/>
      <c r="R117" s="371"/>
      <c r="S117" s="374" t="s">
        <v>82</v>
      </c>
      <c r="T117" s="386"/>
      <c r="U117" s="494"/>
      <c r="V117" s="495"/>
      <c r="W117" s="496"/>
      <c r="X117" s="342" t="s">
        <v>40</v>
      </c>
      <c r="Y117" s="340">
        <f>ROUND(AD117,0)</f>
        <v>0</v>
      </c>
      <c r="Z117" s="335"/>
      <c r="AA117" s="27"/>
      <c r="AB117" s="27"/>
      <c r="AC117" s="282"/>
      <c r="AD117" s="38">
        <f>SUM(AD111:AD116)</f>
        <v>0</v>
      </c>
      <c r="AF117" s="32"/>
      <c r="AG117" s="32"/>
      <c r="AH117" s="27"/>
      <c r="AI117" s="27"/>
    </row>
    <row r="118" spans="17:35" x14ac:dyDescent="0.15">
      <c r="Q118" s="3"/>
      <c r="R118" s="378"/>
      <c r="S118" s="379"/>
      <c r="T118" s="379"/>
      <c r="U118" s="335"/>
      <c r="V118" s="335"/>
      <c r="W118" s="335"/>
      <c r="X118" s="335"/>
      <c r="Y118" s="335"/>
      <c r="Z118" s="335"/>
      <c r="AA118" s="27"/>
      <c r="AB118" s="27"/>
      <c r="AC118" s="27"/>
      <c r="AD118" s="27"/>
      <c r="AE118" s="29"/>
      <c r="AF118" s="32"/>
      <c r="AG118" s="32"/>
      <c r="AH118" s="27"/>
      <c r="AI118" s="27"/>
    </row>
    <row r="119" spans="17:35" ht="17.25" x14ac:dyDescent="0.15">
      <c r="Q119" s="33" t="s">
        <v>89</v>
      </c>
      <c r="R119" s="380"/>
      <c r="S119" s="379"/>
      <c r="T119" s="379"/>
      <c r="U119" s="335"/>
      <c r="V119" s="335"/>
      <c r="W119" s="335"/>
      <c r="X119" s="335"/>
      <c r="Y119" s="335"/>
      <c r="Z119" s="335"/>
      <c r="AA119" s="27"/>
      <c r="AB119" s="27"/>
      <c r="AC119" s="27"/>
      <c r="AD119" s="27"/>
      <c r="AE119" s="29"/>
      <c r="AF119" s="32"/>
      <c r="AG119" s="32"/>
      <c r="AH119" s="27"/>
      <c r="AI119" s="27"/>
    </row>
    <row r="120" spans="17:35" ht="13.15" customHeight="1" x14ac:dyDescent="0.15">
      <c r="Q120" s="466" t="s">
        <v>59</v>
      </c>
      <c r="R120" s="476" t="s">
        <v>60</v>
      </c>
      <c r="S120" s="476" t="s">
        <v>5</v>
      </c>
      <c r="T120" s="388" t="s">
        <v>61</v>
      </c>
      <c r="U120" s="484" t="s">
        <v>88</v>
      </c>
      <c r="V120" s="485"/>
      <c r="W120" s="486"/>
      <c r="X120" s="329" t="s">
        <v>63</v>
      </c>
      <c r="Y120" s="345"/>
      <c r="Z120" s="335"/>
      <c r="AA120" s="27"/>
      <c r="AB120" s="27"/>
      <c r="AC120" s="27"/>
      <c r="AD120" s="27"/>
      <c r="AE120" s="29"/>
      <c r="AF120" s="32"/>
      <c r="AG120" s="32"/>
      <c r="AH120" s="27"/>
      <c r="AI120" s="27"/>
    </row>
    <row r="121" spans="17:35" ht="15" customHeight="1" thickBot="1" x14ac:dyDescent="0.2">
      <c r="Q121" s="467"/>
      <c r="R121" s="477"/>
      <c r="S121" s="478"/>
      <c r="T121" s="382"/>
      <c r="U121" s="487"/>
      <c r="V121" s="488"/>
      <c r="W121" s="489"/>
      <c r="X121" s="329" t="s">
        <v>90</v>
      </c>
      <c r="Y121" s="329" t="s">
        <v>30</v>
      </c>
      <c r="Z121" s="335"/>
      <c r="AA121" s="27"/>
      <c r="AB121" s="27"/>
      <c r="AC121" s="27"/>
      <c r="AD121" s="27"/>
      <c r="AE121" s="29"/>
      <c r="AF121" s="32"/>
      <c r="AG121" s="32"/>
      <c r="AH121" s="27"/>
      <c r="AI121" s="27"/>
    </row>
    <row r="122" spans="17:35" ht="15" hidden="1" customHeight="1" thickBot="1" x14ac:dyDescent="0.2">
      <c r="Q122" s="479" t="s">
        <v>72</v>
      </c>
      <c r="R122" s="371">
        <v>1</v>
      </c>
      <c r="S122" s="371"/>
      <c r="T122" s="389"/>
      <c r="U122" s="494"/>
      <c r="V122" s="495"/>
      <c r="W122" s="496"/>
      <c r="X122" s="346"/>
      <c r="Y122" s="347"/>
      <c r="Z122" s="335"/>
      <c r="AA122" s="27"/>
      <c r="AB122" s="27"/>
      <c r="AC122" s="37" t="str">
        <f>IFERROR(VLOOKUP(U122,入出力データ!$B$10:$D$18,3),"")</f>
        <v/>
      </c>
      <c r="AD122" s="181" t="str">
        <f>IFERROR(X122*AC122/1000,"")</f>
        <v/>
      </c>
      <c r="AE122" s="29"/>
      <c r="AF122" s="32"/>
      <c r="AG122" s="32"/>
      <c r="AH122" s="27"/>
      <c r="AI122" s="27"/>
    </row>
    <row r="123" spans="17:35" ht="15" hidden="1" customHeight="1" thickBot="1" x14ac:dyDescent="0.2">
      <c r="Q123" s="480"/>
      <c r="R123" s="371">
        <v>2</v>
      </c>
      <c r="S123" s="371"/>
      <c r="T123" s="389"/>
      <c r="U123" s="494"/>
      <c r="V123" s="495"/>
      <c r="W123" s="496"/>
      <c r="X123" s="346"/>
      <c r="Y123" s="336"/>
      <c r="Z123" s="335"/>
      <c r="AA123" s="27"/>
      <c r="AB123" s="27"/>
      <c r="AC123" s="37" t="str">
        <f>IFERROR(VLOOKUP(U123,入出力データ!$B$10:$D$18,3),"")</f>
        <v/>
      </c>
      <c r="AD123" s="181" t="str">
        <f t="shared" ref="AD123:AD127" si="15">IFERROR(X123*AC123/1000,"")</f>
        <v/>
      </c>
      <c r="AE123" s="29"/>
      <c r="AF123" s="32"/>
      <c r="AG123" s="32"/>
      <c r="AH123" s="27"/>
      <c r="AI123" s="27"/>
    </row>
    <row r="124" spans="17:35" ht="15" hidden="1" customHeight="1" thickBot="1" x14ac:dyDescent="0.2">
      <c r="Q124" s="480"/>
      <c r="R124" s="371">
        <v>3</v>
      </c>
      <c r="S124" s="371"/>
      <c r="T124" s="382"/>
      <c r="U124" s="494"/>
      <c r="V124" s="495"/>
      <c r="W124" s="496"/>
      <c r="X124" s="348"/>
      <c r="Y124" s="352">
        <f>電力計算部!G43</f>
        <v>0</v>
      </c>
      <c r="Z124" s="335"/>
      <c r="AA124" s="27"/>
      <c r="AB124" s="27"/>
      <c r="AC124" s="37" t="str">
        <f>IFERROR(VLOOKUP(U124,入出力データ!$B$10:$D$18,3),"")</f>
        <v/>
      </c>
      <c r="AD124" s="181" t="str">
        <f t="shared" si="15"/>
        <v/>
      </c>
      <c r="AE124" s="29"/>
      <c r="AF124" s="32"/>
      <c r="AG124" s="32"/>
      <c r="AH124" s="27"/>
      <c r="AI124" s="27"/>
    </row>
    <row r="125" spans="17:35" ht="15" hidden="1" customHeight="1" thickBot="1" x14ac:dyDescent="0.2">
      <c r="Q125" s="480"/>
      <c r="R125" s="371">
        <v>4</v>
      </c>
      <c r="S125" s="382"/>
      <c r="T125" s="382"/>
      <c r="U125" s="494"/>
      <c r="V125" s="495"/>
      <c r="W125" s="496"/>
      <c r="X125" s="346"/>
      <c r="Y125" s="341"/>
      <c r="Z125" s="335"/>
      <c r="AA125" s="27"/>
      <c r="AB125" s="27"/>
      <c r="AC125" s="37" t="str">
        <f>IFERROR(VLOOKUP(U125,入出力データ!$B$10:$D$18,3),"")</f>
        <v/>
      </c>
      <c r="AD125" s="181" t="str">
        <f t="shared" si="15"/>
        <v/>
      </c>
      <c r="AE125" s="29"/>
      <c r="AF125" s="32"/>
      <c r="AG125" s="32"/>
      <c r="AH125" s="27"/>
      <c r="AI125" s="27"/>
    </row>
    <row r="126" spans="17:35" ht="15" hidden="1" customHeight="1" thickBot="1" x14ac:dyDescent="0.2">
      <c r="Q126" s="480"/>
      <c r="R126" s="371">
        <v>5</v>
      </c>
      <c r="S126" s="371"/>
      <c r="T126" s="389"/>
      <c r="U126" s="494"/>
      <c r="V126" s="495"/>
      <c r="W126" s="496"/>
      <c r="X126" s="346"/>
      <c r="Y126" s="334"/>
      <c r="Z126" s="335"/>
      <c r="AA126" s="27"/>
      <c r="AB126" s="27"/>
      <c r="AC126" s="37" t="str">
        <f>IFERROR(VLOOKUP(U126,入出力データ!$B$10:$D$18,3),"")</f>
        <v/>
      </c>
      <c r="AD126" s="181" t="str">
        <f t="shared" si="15"/>
        <v/>
      </c>
      <c r="AE126" s="29"/>
      <c r="AF126" s="32"/>
      <c r="AG126" s="32"/>
      <c r="AH126" s="27"/>
      <c r="AI126" s="27"/>
    </row>
    <row r="127" spans="17:35" ht="15" hidden="1" customHeight="1" thickBot="1" x14ac:dyDescent="0.2">
      <c r="Q127" s="480"/>
      <c r="R127" s="371">
        <v>6</v>
      </c>
      <c r="S127" s="371"/>
      <c r="T127" s="389"/>
      <c r="U127" s="494"/>
      <c r="V127" s="495"/>
      <c r="W127" s="496"/>
      <c r="X127" s="346"/>
      <c r="Y127" s="334"/>
      <c r="Z127" s="335"/>
      <c r="AA127" s="27"/>
      <c r="AB127" s="27"/>
      <c r="AC127" s="37" t="str">
        <f>IFERROR(VLOOKUP(U127,入出力データ!$B$10:$D$18,3),"")</f>
        <v/>
      </c>
      <c r="AD127" s="181" t="str">
        <f t="shared" si="15"/>
        <v/>
      </c>
      <c r="AE127" s="29"/>
      <c r="AF127" s="32"/>
      <c r="AG127" s="32"/>
      <c r="AH127" s="27"/>
      <c r="AI127" s="27"/>
    </row>
    <row r="128" spans="17:35" ht="15" hidden="1" customHeight="1" thickBot="1" x14ac:dyDescent="0.2">
      <c r="Q128" s="481"/>
      <c r="R128" s="375"/>
      <c r="S128" s="375"/>
      <c r="T128" s="390"/>
      <c r="U128" s="497"/>
      <c r="V128" s="498"/>
      <c r="W128" s="499"/>
      <c r="X128" s="350" t="s">
        <v>31</v>
      </c>
      <c r="Y128" s="340">
        <f>ROUND(SUM(Y122:Y127,AD128),0)</f>
        <v>0</v>
      </c>
      <c r="Z128" s="335"/>
      <c r="AA128" s="27"/>
      <c r="AB128" s="27"/>
      <c r="AC128" s="276"/>
      <c r="AD128" s="180">
        <f>SUM(AD122:AD127)</f>
        <v>0</v>
      </c>
      <c r="AE128" s="29"/>
      <c r="AF128" s="32"/>
      <c r="AG128" s="32"/>
      <c r="AH128" s="27"/>
      <c r="AI128" s="27"/>
    </row>
    <row r="129" spans="17:43" ht="15" customHeight="1" thickTop="1" thickBot="1" x14ac:dyDescent="0.2">
      <c r="Q129" s="480" t="s">
        <v>83</v>
      </c>
      <c r="R129" s="430"/>
      <c r="S129" s="430"/>
      <c r="T129" s="452"/>
      <c r="U129" s="490"/>
      <c r="V129" s="491"/>
      <c r="W129" s="492"/>
      <c r="X129" s="451"/>
      <c r="Y129" s="453"/>
      <c r="Z129" s="335"/>
      <c r="AA129" s="27"/>
      <c r="AB129" s="27"/>
      <c r="AC129" s="37" t="str">
        <f>IFERROR(VLOOKUP(U129,入出力データ!$B$10:$D$18,3),"")</f>
        <v/>
      </c>
      <c r="AD129" s="181" t="str">
        <f>IFERROR(X129*AC129/1000,"")</f>
        <v/>
      </c>
      <c r="AE129" s="29"/>
      <c r="AF129" s="32"/>
      <c r="AG129" s="32"/>
      <c r="AH129" s="27"/>
      <c r="AI129" s="27"/>
    </row>
    <row r="130" spans="17:43" ht="15" customHeight="1" thickBot="1" x14ac:dyDescent="0.2">
      <c r="Q130" s="480"/>
      <c r="R130" s="423"/>
      <c r="S130" s="423"/>
      <c r="T130" s="454"/>
      <c r="U130" s="490"/>
      <c r="V130" s="491"/>
      <c r="W130" s="492"/>
      <c r="X130" s="444"/>
      <c r="Y130" s="455"/>
      <c r="Z130" s="335"/>
      <c r="AA130" s="27"/>
      <c r="AB130" s="27"/>
      <c r="AC130" s="37" t="str">
        <f>IFERROR(VLOOKUP(U130,入出力データ!$B$10:$D$18,3),"")</f>
        <v/>
      </c>
      <c r="AD130" s="181" t="str">
        <f t="shared" ref="AD130:AD134" si="16">IFERROR(X130*AC130/1000,"")</f>
        <v/>
      </c>
      <c r="AE130" s="29"/>
      <c r="AF130" s="32"/>
      <c r="AG130" s="32"/>
      <c r="AH130" s="27"/>
      <c r="AI130" s="27"/>
    </row>
    <row r="131" spans="17:43" ht="15" customHeight="1" thickBot="1" x14ac:dyDescent="0.2">
      <c r="Q131" s="480"/>
      <c r="R131" s="423"/>
      <c r="S131" s="423"/>
      <c r="T131" s="456"/>
      <c r="U131" s="490"/>
      <c r="V131" s="491"/>
      <c r="W131" s="492"/>
      <c r="X131" s="447"/>
      <c r="Y131" s="457"/>
      <c r="Z131" s="335"/>
      <c r="AA131" s="27"/>
      <c r="AB131" s="27"/>
      <c r="AC131" s="37" t="str">
        <f>IFERROR(VLOOKUP(U131,入出力データ!$B$10:$D$18,3),"")</f>
        <v/>
      </c>
      <c r="AD131" s="181" t="str">
        <f t="shared" si="16"/>
        <v/>
      </c>
      <c r="AE131" s="29"/>
      <c r="AF131" s="32"/>
      <c r="AG131" s="32"/>
      <c r="AH131" s="27"/>
      <c r="AI131" s="27"/>
    </row>
    <row r="132" spans="17:43" ht="15" customHeight="1" thickBot="1" x14ac:dyDescent="0.2">
      <c r="Q132" s="480"/>
      <c r="R132" s="423"/>
      <c r="S132" s="423"/>
      <c r="T132" s="454"/>
      <c r="U132" s="490"/>
      <c r="V132" s="491"/>
      <c r="W132" s="492"/>
      <c r="X132" s="444"/>
      <c r="Y132" s="458"/>
      <c r="Z132" s="335"/>
      <c r="AA132" s="27"/>
      <c r="AB132" s="27"/>
      <c r="AC132" s="37" t="str">
        <f>IFERROR(VLOOKUP(U132,入出力データ!$B$10:$D$18,3),"")</f>
        <v/>
      </c>
      <c r="AD132" s="181" t="str">
        <f t="shared" si="16"/>
        <v/>
      </c>
      <c r="AE132" s="29"/>
      <c r="AF132" s="32"/>
      <c r="AG132" s="32"/>
      <c r="AH132" s="27"/>
      <c r="AI132" s="27"/>
    </row>
    <row r="133" spans="17:43" ht="15" customHeight="1" thickBot="1" x14ac:dyDescent="0.2">
      <c r="Q133" s="480"/>
      <c r="R133" s="423"/>
      <c r="S133" s="423"/>
      <c r="T133" s="454"/>
      <c r="U133" s="490"/>
      <c r="V133" s="491"/>
      <c r="W133" s="492"/>
      <c r="X133" s="444"/>
      <c r="Y133" s="459"/>
      <c r="Z133" s="335"/>
      <c r="AA133" s="27"/>
      <c r="AB133" s="27"/>
      <c r="AC133" s="37" t="str">
        <f>IFERROR(VLOOKUP(U133,入出力データ!$B$10:$D$18,3),"")</f>
        <v/>
      </c>
      <c r="AD133" s="181" t="str">
        <f t="shared" si="16"/>
        <v/>
      </c>
      <c r="AE133" s="29"/>
      <c r="AF133" s="32"/>
      <c r="AG133" s="32"/>
      <c r="AH133" s="27"/>
      <c r="AI133" s="27"/>
    </row>
    <row r="134" spans="17:43" ht="15" customHeight="1" thickBot="1" x14ac:dyDescent="0.2">
      <c r="Q134" s="480"/>
      <c r="R134" s="371">
        <v>6</v>
      </c>
      <c r="S134" s="371" t="s">
        <v>91</v>
      </c>
      <c r="T134" s="382" t="s">
        <v>92</v>
      </c>
      <c r="U134" s="490"/>
      <c r="V134" s="491"/>
      <c r="W134" s="492"/>
      <c r="X134" s="460"/>
      <c r="Y134" s="334">
        <f>電力計算部!G52</f>
        <v>0</v>
      </c>
      <c r="Z134" s="335"/>
      <c r="AA134" s="27"/>
      <c r="AB134" s="27"/>
      <c r="AC134" s="37" t="str">
        <f>IFERROR(VLOOKUP(U134,入出力データ!$B$10:$D$18,3),"")</f>
        <v/>
      </c>
      <c r="AD134" s="181" t="str">
        <f t="shared" si="16"/>
        <v/>
      </c>
      <c r="AE134" s="29"/>
      <c r="AF134" s="32"/>
      <c r="AG134" s="32"/>
      <c r="AH134" s="27"/>
      <c r="AI134" s="27"/>
    </row>
    <row r="135" spans="17:43" ht="15" customHeight="1" thickBot="1" x14ac:dyDescent="0.2">
      <c r="Q135" s="482"/>
      <c r="R135" s="371"/>
      <c r="S135" s="371"/>
      <c r="T135" s="389"/>
      <c r="U135" s="494"/>
      <c r="V135" s="495"/>
      <c r="W135" s="496"/>
      <c r="X135" s="342" t="s">
        <v>40</v>
      </c>
      <c r="Y135" s="340">
        <f>ROUND(SUM(Y129:Y134,AD135),0)</f>
        <v>0</v>
      </c>
      <c r="Z135" s="335"/>
      <c r="AA135" s="27"/>
      <c r="AB135" s="27"/>
      <c r="AC135" s="282"/>
      <c r="AD135" s="38">
        <f>SUM(AD129:AD134)</f>
        <v>0</v>
      </c>
      <c r="AE135" s="29"/>
      <c r="AF135" s="32"/>
      <c r="AG135" s="32"/>
      <c r="AH135" s="27"/>
      <c r="AI135" s="27"/>
    </row>
    <row r="136" spans="17:43" ht="15" customHeight="1" x14ac:dyDescent="0.15">
      <c r="Q136" s="163"/>
      <c r="R136" s="378"/>
      <c r="S136" s="378"/>
      <c r="T136" s="379"/>
      <c r="U136" s="335"/>
      <c r="V136" s="335"/>
      <c r="W136" s="335"/>
      <c r="X136" s="353"/>
      <c r="Y136" s="354"/>
      <c r="Z136" s="335"/>
      <c r="AA136" s="27"/>
      <c r="AB136" s="27"/>
      <c r="AC136" s="27"/>
      <c r="AE136" s="29"/>
      <c r="AF136" s="32"/>
      <c r="AG136" s="32"/>
      <c r="AH136" s="27"/>
      <c r="AI136" s="27"/>
    </row>
    <row r="137" spans="17:43" ht="21.75" customHeight="1" x14ac:dyDescent="0.15">
      <c r="Q137" s="3"/>
      <c r="R137" s="378"/>
      <c r="S137" s="379"/>
      <c r="T137" s="379"/>
      <c r="U137" s="335"/>
      <c r="V137" s="335"/>
      <c r="W137" s="335"/>
      <c r="X137" s="335"/>
      <c r="Y137" s="335"/>
      <c r="Z137" s="335"/>
      <c r="AA137" s="27"/>
      <c r="AB137" s="27"/>
      <c r="AC137" s="27"/>
      <c r="AD137" s="27"/>
      <c r="AE137" s="29"/>
      <c r="AF137" s="32"/>
      <c r="AG137" s="32"/>
      <c r="AH137" s="27"/>
      <c r="AI137" s="27"/>
      <c r="AO137" s="278"/>
    </row>
    <row r="138" spans="17:43" ht="21.75" customHeight="1" x14ac:dyDescent="0.15">
      <c r="Q138" s="3"/>
      <c r="R138" s="378"/>
      <c r="S138" s="379"/>
      <c r="T138" s="379"/>
      <c r="U138" s="335"/>
      <c r="V138" s="335"/>
      <c r="W138" s="335"/>
      <c r="X138" s="335"/>
      <c r="Y138" s="335"/>
      <c r="Z138" s="335"/>
      <c r="AA138" s="27"/>
      <c r="AB138" s="27"/>
      <c r="AC138" s="27"/>
      <c r="AD138" s="27"/>
      <c r="AE138" s="29"/>
      <c r="AF138" s="32"/>
      <c r="AG138" s="32"/>
      <c r="AH138" s="27"/>
      <c r="AI138" s="27"/>
      <c r="AO138" s="278"/>
    </row>
    <row r="139" spans="17:43" ht="17.25" x14ac:dyDescent="0.15">
      <c r="Q139" s="36" t="s">
        <v>232</v>
      </c>
      <c r="R139" s="378"/>
      <c r="S139" s="379"/>
      <c r="T139" s="379"/>
      <c r="U139" s="335"/>
      <c r="V139" s="335"/>
      <c r="W139" s="335"/>
      <c r="X139" s="335"/>
      <c r="Y139" s="344" t="s">
        <v>194</v>
      </c>
      <c r="Z139" s="335"/>
      <c r="AA139" s="27"/>
      <c r="AB139" s="27"/>
      <c r="AC139" s="27"/>
      <c r="AD139" s="27"/>
      <c r="AE139" s="29"/>
      <c r="AF139" s="32"/>
      <c r="AG139" s="27"/>
      <c r="AH139" s="27"/>
      <c r="AI139" s="27"/>
      <c r="AJ139" s="27"/>
      <c r="AK139" s="27"/>
      <c r="AL139" s="27"/>
      <c r="AM139" s="27"/>
      <c r="AN139" s="27"/>
      <c r="AO139" s="278"/>
      <c r="AP139" s="27"/>
      <c r="AQ139" s="27"/>
    </row>
    <row r="140" spans="17:43" ht="13.5" customHeight="1" x14ac:dyDescent="0.15">
      <c r="Q140" s="466" t="s">
        <v>59</v>
      </c>
      <c r="R140" s="476" t="s">
        <v>60</v>
      </c>
      <c r="S140" s="476" t="s">
        <v>5</v>
      </c>
      <c r="T140" s="476" t="s">
        <v>61</v>
      </c>
      <c r="U140" s="504" t="s">
        <v>62</v>
      </c>
      <c r="V140" s="505"/>
      <c r="W140" s="504" t="s">
        <v>63</v>
      </c>
      <c r="X140" s="506"/>
      <c r="Y140" s="345"/>
      <c r="Z140" s="2"/>
      <c r="AA140" s="27"/>
      <c r="AB140" s="27"/>
      <c r="AC140" s="27"/>
      <c r="AD140" s="27"/>
      <c r="AE140" s="29"/>
      <c r="AF140" s="32"/>
      <c r="AG140" s="27"/>
      <c r="AH140" s="27"/>
      <c r="AI140" s="27"/>
      <c r="AJ140" s="27"/>
      <c r="AK140" s="27"/>
      <c r="AL140" s="27"/>
      <c r="AM140" s="27"/>
      <c r="AN140" s="27"/>
      <c r="AO140" s="27"/>
      <c r="AP140" s="27"/>
      <c r="AQ140" s="27"/>
    </row>
    <row r="141" spans="17:43" ht="15" customHeight="1" thickBot="1" x14ac:dyDescent="0.2">
      <c r="Q141" s="467"/>
      <c r="R141" s="477"/>
      <c r="S141" s="478"/>
      <c r="T141" s="483"/>
      <c r="U141" s="381" t="s">
        <v>65</v>
      </c>
      <c r="V141" s="381" t="s">
        <v>66</v>
      </c>
      <c r="W141" s="464" t="s">
        <v>198</v>
      </c>
      <c r="X141" s="371" t="s">
        <v>67</v>
      </c>
      <c r="Y141" s="371" t="s">
        <v>30</v>
      </c>
      <c r="Z141" s="343"/>
      <c r="AA141" s="118" t="s">
        <v>68</v>
      </c>
      <c r="AB141" s="100" t="s">
        <v>69</v>
      </c>
      <c r="AC141" s="84" t="s">
        <v>70</v>
      </c>
      <c r="AD141" s="155" t="s">
        <v>30</v>
      </c>
      <c r="AG141" s="27"/>
      <c r="AH141" s="27"/>
      <c r="AI141" s="27"/>
      <c r="AJ141" s="27"/>
      <c r="AK141" s="27"/>
      <c r="AL141" s="27"/>
      <c r="AM141" s="27"/>
      <c r="AN141" s="27"/>
      <c r="AO141" s="27"/>
      <c r="AP141" s="27"/>
      <c r="AQ141" s="27"/>
    </row>
    <row r="142" spans="17:43" ht="15" hidden="1" customHeight="1" thickBot="1" x14ac:dyDescent="0.2">
      <c r="Q142" s="479" t="s">
        <v>72</v>
      </c>
      <c r="R142" s="371">
        <v>1</v>
      </c>
      <c r="S142" s="374"/>
      <c r="T142" s="373"/>
      <c r="U142" s="331"/>
      <c r="V142" s="332"/>
      <c r="W142" s="333"/>
      <c r="X142" s="333"/>
      <c r="Y142" s="334" t="str">
        <f>AD142</f>
        <v/>
      </c>
      <c r="Z142" s="335"/>
      <c r="AA142" s="156">
        <f t="shared" ref="AA142:AA147" si="17">IFERROR(VLOOKUP(U142*1000,$AH$76:$AI$83,2),"")</f>
        <v>500</v>
      </c>
      <c r="AB142" s="157" t="str">
        <f>IFERROR(ROUND(EXP(2.71-0.812*LN(V142)-0.654*LN(AA142)),4),"")</f>
        <v/>
      </c>
      <c r="AC142" s="158" t="str">
        <f>IFERROR(ROUND($AK$73*AB142,4),"")</f>
        <v/>
      </c>
      <c r="AD142" s="159" t="str">
        <f>IFERROR(ROUND(W142*X142*AC142/1000,1),"")</f>
        <v/>
      </c>
      <c r="AG142" s="27"/>
      <c r="AH142" s="27"/>
      <c r="AI142" s="27"/>
      <c r="AJ142" s="27"/>
      <c r="AK142" s="27"/>
      <c r="AL142" s="27"/>
      <c r="AM142" s="27"/>
      <c r="AN142" s="27"/>
      <c r="AO142" s="27"/>
      <c r="AP142" s="27"/>
      <c r="AQ142" s="27"/>
    </row>
    <row r="143" spans="17:43" ht="15" hidden="1" customHeight="1" thickBot="1" x14ac:dyDescent="0.2">
      <c r="Q143" s="480"/>
      <c r="R143" s="371">
        <v>2</v>
      </c>
      <c r="S143" s="374"/>
      <c r="T143" s="373"/>
      <c r="U143" s="331"/>
      <c r="V143" s="332"/>
      <c r="W143" s="333"/>
      <c r="X143" s="333"/>
      <c r="Y143" s="334" t="str">
        <f t="shared" ref="Y143:Y147" si="18">AD143</f>
        <v/>
      </c>
      <c r="Z143" s="335"/>
      <c r="AA143" s="156">
        <f t="shared" si="17"/>
        <v>500</v>
      </c>
      <c r="AB143" s="157" t="str">
        <f t="shared" ref="AB143:AB147" si="19">IFERROR(ROUND(EXP(2.71-0.812*LN(V143)-0.654*LN(AA143)),4),"")</f>
        <v/>
      </c>
      <c r="AC143" s="158" t="str">
        <f t="shared" ref="AC143:AC154" si="20">IFERROR(ROUND($AK$73*AB143,4),"")</f>
        <v/>
      </c>
      <c r="AD143" s="159" t="str">
        <f t="shared" ref="AD143:AD147" si="21">IFERROR(ROUND(W143*X143*AC143/1000,1),"")</f>
        <v/>
      </c>
      <c r="AG143" s="27"/>
      <c r="AH143" s="27"/>
      <c r="AI143" s="27"/>
      <c r="AJ143" s="27"/>
      <c r="AK143" s="27"/>
      <c r="AL143" s="27"/>
      <c r="AM143" s="27"/>
      <c r="AN143" s="27"/>
      <c r="AO143" s="27"/>
      <c r="AP143" s="27"/>
      <c r="AQ143" s="27"/>
    </row>
    <row r="144" spans="17:43" ht="15" hidden="1" customHeight="1" thickBot="1" x14ac:dyDescent="0.2">
      <c r="Q144" s="480"/>
      <c r="R144" s="371">
        <v>3</v>
      </c>
      <c r="S144" s="391"/>
      <c r="T144" s="373"/>
      <c r="U144" s="331"/>
      <c r="V144" s="332"/>
      <c r="W144" s="333"/>
      <c r="X144" s="333"/>
      <c r="Y144" s="334" t="str">
        <f t="shared" si="18"/>
        <v/>
      </c>
      <c r="Z144" s="335"/>
      <c r="AA144" s="156">
        <f t="shared" si="17"/>
        <v>500</v>
      </c>
      <c r="AB144" s="157" t="str">
        <f t="shared" si="19"/>
        <v/>
      </c>
      <c r="AC144" s="158" t="str">
        <f t="shared" si="20"/>
        <v/>
      </c>
      <c r="AD144" s="159" t="str">
        <f t="shared" si="21"/>
        <v/>
      </c>
      <c r="AG144" s="27"/>
      <c r="AH144" s="27"/>
      <c r="AI144" s="27"/>
      <c r="AJ144" s="27"/>
      <c r="AK144" s="27"/>
      <c r="AL144" s="27"/>
      <c r="AM144" s="27"/>
      <c r="AN144" s="27"/>
      <c r="AO144" s="27"/>
      <c r="AP144" s="27"/>
      <c r="AQ144" s="27"/>
    </row>
    <row r="145" spans="17:43" ht="15" hidden="1" customHeight="1" thickBot="1" x14ac:dyDescent="0.2">
      <c r="Q145" s="480"/>
      <c r="R145" s="371">
        <v>4</v>
      </c>
      <c r="S145" s="391"/>
      <c r="T145" s="373"/>
      <c r="U145" s="331"/>
      <c r="V145" s="332"/>
      <c r="W145" s="333"/>
      <c r="X145" s="333"/>
      <c r="Y145" s="334" t="str">
        <f t="shared" si="18"/>
        <v/>
      </c>
      <c r="Z145" s="335"/>
      <c r="AA145" s="156">
        <f t="shared" si="17"/>
        <v>500</v>
      </c>
      <c r="AB145" s="157" t="str">
        <f t="shared" si="19"/>
        <v/>
      </c>
      <c r="AC145" s="158" t="str">
        <f t="shared" si="20"/>
        <v/>
      </c>
      <c r="AD145" s="159" t="str">
        <f t="shared" si="21"/>
        <v/>
      </c>
      <c r="AG145" s="27"/>
      <c r="AH145" s="27"/>
      <c r="AI145" s="27"/>
      <c r="AJ145" s="27"/>
      <c r="AK145" s="27"/>
      <c r="AL145" s="27"/>
      <c r="AM145" s="27"/>
      <c r="AN145" s="27"/>
      <c r="AO145" s="27"/>
      <c r="AP145" s="27"/>
      <c r="AQ145" s="27"/>
    </row>
    <row r="146" spans="17:43" ht="15" hidden="1" customHeight="1" thickBot="1" x14ac:dyDescent="0.2">
      <c r="Q146" s="480"/>
      <c r="R146" s="371">
        <v>5</v>
      </c>
      <c r="S146" s="372"/>
      <c r="T146" s="373"/>
      <c r="U146" s="331"/>
      <c r="V146" s="332"/>
      <c r="W146" s="333"/>
      <c r="X146" s="333"/>
      <c r="Y146" s="334" t="str">
        <f t="shared" si="18"/>
        <v/>
      </c>
      <c r="Z146" s="335"/>
      <c r="AA146" s="156">
        <f t="shared" si="17"/>
        <v>500</v>
      </c>
      <c r="AB146" s="157" t="str">
        <f t="shared" si="19"/>
        <v/>
      </c>
      <c r="AC146" s="158" t="str">
        <f t="shared" si="20"/>
        <v/>
      </c>
      <c r="AD146" s="159" t="str">
        <f t="shared" si="21"/>
        <v/>
      </c>
      <c r="AG146" s="27"/>
      <c r="AH146" s="27"/>
      <c r="AI146" s="27"/>
      <c r="AJ146" s="27"/>
      <c r="AK146" s="27"/>
      <c r="AL146" s="27"/>
      <c r="AM146" s="27"/>
      <c r="AN146" s="27"/>
      <c r="AO146" s="27"/>
      <c r="AP146" s="27"/>
      <c r="AQ146" s="27"/>
    </row>
    <row r="147" spans="17:43" ht="15" hidden="1" customHeight="1" thickBot="1" x14ac:dyDescent="0.2">
      <c r="Q147" s="480"/>
      <c r="R147" s="371">
        <v>6</v>
      </c>
      <c r="S147" s="374"/>
      <c r="T147" s="373"/>
      <c r="U147" s="331"/>
      <c r="V147" s="332"/>
      <c r="W147" s="333"/>
      <c r="X147" s="333"/>
      <c r="Y147" s="336" t="str">
        <f t="shared" si="18"/>
        <v/>
      </c>
      <c r="Z147" s="335"/>
      <c r="AA147" s="156">
        <f t="shared" si="17"/>
        <v>500</v>
      </c>
      <c r="AB147" s="157" t="str">
        <f t="shared" si="19"/>
        <v/>
      </c>
      <c r="AC147" s="158" t="str">
        <f t="shared" si="20"/>
        <v/>
      </c>
      <c r="AD147" s="159" t="str">
        <f t="shared" si="21"/>
        <v/>
      </c>
      <c r="AG147" s="27"/>
      <c r="AH147" s="27"/>
      <c r="AI147" s="27"/>
      <c r="AJ147" s="27"/>
      <c r="AK147" s="27"/>
      <c r="AL147" s="27"/>
      <c r="AM147" s="27"/>
      <c r="AN147" s="27"/>
      <c r="AO147" s="27"/>
      <c r="AP147" s="27"/>
      <c r="AQ147" s="27"/>
    </row>
    <row r="148" spans="17:43" ht="15" hidden="1" customHeight="1" thickBot="1" x14ac:dyDescent="0.2">
      <c r="Q148" s="481"/>
      <c r="R148" s="375"/>
      <c r="S148" s="376" t="s">
        <v>82</v>
      </c>
      <c r="T148" s="377"/>
      <c r="U148" s="337"/>
      <c r="V148" s="337"/>
      <c r="W148" s="338"/>
      <c r="X148" s="339" t="s">
        <v>31</v>
      </c>
      <c r="Y148" s="340">
        <f>ROUND(SUM(Y142:Y147),0)</f>
        <v>0</v>
      </c>
      <c r="Z148" s="335"/>
      <c r="AA148" s="268"/>
      <c r="AB148" s="269"/>
      <c r="AC148" s="270"/>
      <c r="AD148" s="271">
        <f>SUM(AD142:AD147)</f>
        <v>0</v>
      </c>
      <c r="AE148" s="162"/>
      <c r="AG148" s="27"/>
      <c r="AH148" s="27"/>
      <c r="AI148" s="27"/>
      <c r="AJ148" s="27"/>
      <c r="AK148" s="27"/>
      <c r="AL148" s="27"/>
      <c r="AM148" s="27"/>
      <c r="AN148" s="27"/>
      <c r="AO148" s="27"/>
      <c r="AP148" s="27"/>
      <c r="AQ148" s="27"/>
    </row>
    <row r="149" spans="17:43" ht="15" customHeight="1" thickBot="1" x14ac:dyDescent="0.2">
      <c r="Q149" s="480" t="s">
        <v>83</v>
      </c>
      <c r="R149" s="430"/>
      <c r="S149" s="429"/>
      <c r="T149" s="425"/>
      <c r="U149" s="426"/>
      <c r="V149" s="433"/>
      <c r="W149" s="434"/>
      <c r="X149" s="428"/>
      <c r="Y149" s="458" t="str">
        <f t="shared" ref="Y149:Y154" si="22">AD149</f>
        <v/>
      </c>
      <c r="Z149" s="335"/>
      <c r="AA149" s="272">
        <f>IFERROR(VLOOKUP(U149*1000,$AH$76:$AI$84,2),"")</f>
        <v>500</v>
      </c>
      <c r="AB149" s="273" t="str">
        <f>IFERROR(ROUND(EXP(2.71-0.812*LN(V149)-0.654*LN(AA149)),4),"")</f>
        <v/>
      </c>
      <c r="AC149" s="274" t="str">
        <f>IFERROR(ROUND($AK$73*AB149,4),"")</f>
        <v/>
      </c>
      <c r="AD149" s="275" t="str">
        <f>IFERROR(ROUND(W149*X149*AC149/1000,1),"")</f>
        <v/>
      </c>
      <c r="AG149" s="27"/>
      <c r="AH149" s="27"/>
      <c r="AI149" s="27"/>
      <c r="AJ149" s="27"/>
      <c r="AK149" s="27"/>
      <c r="AL149" s="27"/>
      <c r="AM149" s="27"/>
      <c r="AN149" s="27"/>
      <c r="AO149" s="27"/>
      <c r="AP149" s="27"/>
      <c r="AQ149" s="27"/>
    </row>
    <row r="150" spans="17:43" ht="15" customHeight="1" thickBot="1" x14ac:dyDescent="0.2">
      <c r="Q150" s="480"/>
      <c r="R150" s="423"/>
      <c r="S150" s="429"/>
      <c r="T150" s="425"/>
      <c r="U150" s="426"/>
      <c r="V150" s="427"/>
      <c r="W150" s="428"/>
      <c r="X150" s="428"/>
      <c r="Y150" s="459" t="str">
        <f t="shared" si="22"/>
        <v/>
      </c>
      <c r="Z150" s="335"/>
      <c r="AA150" s="156">
        <f t="shared" ref="AA150:AA154" si="23">IFERROR(VLOOKUP(U150*1000,$AH$76:$AI$84,2),"")</f>
        <v>500</v>
      </c>
      <c r="AB150" s="157" t="str">
        <f t="shared" ref="AB150:AB154" si="24">IFERROR(ROUND(EXP(2.71-0.812*LN(V150)-0.654*LN(AA150)),4),"")</f>
        <v/>
      </c>
      <c r="AC150" s="158" t="str">
        <f t="shared" si="20"/>
        <v/>
      </c>
      <c r="AD150" s="159" t="str">
        <f t="shared" ref="AD150:AD154" si="25">IFERROR(ROUND(W150*X150*AC150/1000,1),"")</f>
        <v/>
      </c>
      <c r="AG150" s="27"/>
      <c r="AH150" s="27"/>
      <c r="AI150" s="27"/>
      <c r="AJ150" s="27"/>
      <c r="AK150" s="27"/>
      <c r="AL150" s="27"/>
      <c r="AM150" s="27"/>
      <c r="AN150" s="27"/>
      <c r="AO150" s="27"/>
      <c r="AP150" s="27"/>
      <c r="AQ150" s="27"/>
    </row>
    <row r="151" spans="17:43" ht="15" customHeight="1" thickBot="1" x14ac:dyDescent="0.2">
      <c r="Q151" s="480"/>
      <c r="R151" s="423"/>
      <c r="S151" s="461"/>
      <c r="T151" s="425"/>
      <c r="U151" s="426"/>
      <c r="V151" s="427"/>
      <c r="W151" s="428"/>
      <c r="X151" s="428"/>
      <c r="Y151" s="459" t="str">
        <f t="shared" si="22"/>
        <v/>
      </c>
      <c r="Z151" s="335"/>
      <c r="AA151" s="156">
        <f t="shared" si="23"/>
        <v>500</v>
      </c>
      <c r="AB151" s="157" t="str">
        <f t="shared" si="24"/>
        <v/>
      </c>
      <c r="AC151" s="158" t="str">
        <f t="shared" si="20"/>
        <v/>
      </c>
      <c r="AD151" s="159" t="str">
        <f t="shared" si="25"/>
        <v/>
      </c>
      <c r="AG151" s="27"/>
      <c r="AH151" s="27"/>
      <c r="AI151" s="27"/>
      <c r="AJ151" s="27"/>
      <c r="AK151" s="27"/>
      <c r="AL151" s="27"/>
      <c r="AM151" s="27"/>
      <c r="AN151" s="27"/>
      <c r="AO151" s="27"/>
      <c r="AP151" s="27"/>
      <c r="AQ151" s="27"/>
    </row>
    <row r="152" spans="17:43" ht="15" customHeight="1" thickBot="1" x14ac:dyDescent="0.2">
      <c r="Q152" s="480"/>
      <c r="R152" s="423"/>
      <c r="S152" s="461"/>
      <c r="T152" s="425"/>
      <c r="U152" s="426"/>
      <c r="V152" s="427"/>
      <c r="W152" s="428"/>
      <c r="X152" s="428"/>
      <c r="Y152" s="459" t="str">
        <f t="shared" si="22"/>
        <v/>
      </c>
      <c r="Z152" s="335"/>
      <c r="AA152" s="156">
        <f t="shared" si="23"/>
        <v>500</v>
      </c>
      <c r="AB152" s="157" t="str">
        <f t="shared" si="24"/>
        <v/>
      </c>
      <c r="AC152" s="158" t="str">
        <f t="shared" si="20"/>
        <v/>
      </c>
      <c r="AD152" s="159" t="str">
        <f t="shared" si="25"/>
        <v/>
      </c>
      <c r="AG152" s="27"/>
      <c r="AH152" s="27"/>
      <c r="AI152" s="27"/>
      <c r="AJ152" s="27"/>
      <c r="AK152" s="27"/>
      <c r="AL152" s="27"/>
      <c r="AM152" s="27"/>
      <c r="AN152" s="27"/>
      <c r="AO152" s="27"/>
      <c r="AP152" s="27"/>
      <c r="AQ152" s="27"/>
    </row>
    <row r="153" spans="17:43" ht="15" customHeight="1" thickBot="1" x14ac:dyDescent="0.2">
      <c r="Q153" s="480"/>
      <c r="R153" s="423"/>
      <c r="S153" s="424"/>
      <c r="T153" s="425"/>
      <c r="U153" s="426"/>
      <c r="V153" s="427"/>
      <c r="W153" s="428"/>
      <c r="X153" s="428"/>
      <c r="Y153" s="459" t="str">
        <f t="shared" si="22"/>
        <v/>
      </c>
      <c r="Z153" s="335"/>
      <c r="AA153" s="156">
        <f t="shared" si="23"/>
        <v>500</v>
      </c>
      <c r="AB153" s="157" t="str">
        <f t="shared" si="24"/>
        <v/>
      </c>
      <c r="AC153" s="158" t="str">
        <f t="shared" si="20"/>
        <v/>
      </c>
      <c r="AD153" s="159" t="str">
        <f t="shared" si="25"/>
        <v/>
      </c>
      <c r="AG153" s="84"/>
      <c r="AH153" s="86"/>
      <c r="AI153" s="86"/>
      <c r="AJ153" s="84"/>
      <c r="AK153" s="84"/>
    </row>
    <row r="154" spans="17:43" ht="15" customHeight="1" thickBot="1" x14ac:dyDescent="0.2">
      <c r="Q154" s="480"/>
      <c r="R154" s="435"/>
      <c r="S154" s="436"/>
      <c r="T154" s="437"/>
      <c r="U154" s="438"/>
      <c r="V154" s="439"/>
      <c r="W154" s="440"/>
      <c r="X154" s="440"/>
      <c r="Y154" s="462" t="str">
        <f t="shared" si="22"/>
        <v/>
      </c>
      <c r="Z154" s="335"/>
      <c r="AA154" s="156">
        <f t="shared" si="23"/>
        <v>500</v>
      </c>
      <c r="AB154" s="157" t="str">
        <f t="shared" si="24"/>
        <v/>
      </c>
      <c r="AC154" s="158" t="str">
        <f t="shared" si="20"/>
        <v/>
      </c>
      <c r="AD154" s="159" t="str">
        <f t="shared" si="25"/>
        <v/>
      </c>
      <c r="AG154" s="84"/>
      <c r="AH154" s="86"/>
      <c r="AI154" s="86"/>
      <c r="AJ154" s="84"/>
      <c r="AK154" s="84"/>
    </row>
    <row r="155" spans="17:43" ht="15" customHeight="1" thickBot="1" x14ac:dyDescent="0.2">
      <c r="Q155" s="482"/>
      <c r="R155" s="371"/>
      <c r="S155" s="374" t="s">
        <v>82</v>
      </c>
      <c r="T155" s="373"/>
      <c r="U155" s="330"/>
      <c r="V155" s="330"/>
      <c r="W155" s="330"/>
      <c r="X155" s="342" t="s">
        <v>40</v>
      </c>
      <c r="Y155" s="340">
        <f>ROUND(SUM(Y149:Y154),0)</f>
        <v>0</v>
      </c>
      <c r="Z155" s="335"/>
      <c r="AA155" s="168"/>
      <c r="AB155" s="169"/>
      <c r="AC155" s="170"/>
      <c r="AD155" s="160">
        <f>SUM(AD149:AD154)</f>
        <v>0</v>
      </c>
      <c r="AG155" s="84"/>
      <c r="AH155" s="86"/>
      <c r="AI155" s="86"/>
      <c r="AJ155" s="84"/>
      <c r="AK155" s="84"/>
    </row>
    <row r="156" spans="17:43" x14ac:dyDescent="0.15">
      <c r="Q156" s="3"/>
      <c r="R156" s="343"/>
      <c r="S156" s="335"/>
      <c r="T156" s="335"/>
      <c r="U156" s="335"/>
      <c r="V156" s="335"/>
      <c r="W156" s="335"/>
      <c r="X156" s="335"/>
      <c r="Y156" s="344" t="s">
        <v>193</v>
      </c>
      <c r="Z156" s="335"/>
      <c r="AA156" s="27"/>
      <c r="AB156" s="27"/>
      <c r="AC156" s="27"/>
      <c r="AD156" s="27"/>
      <c r="AE156" s="29"/>
      <c r="AF156" s="32"/>
      <c r="AG156" s="32"/>
      <c r="AH156" s="27"/>
      <c r="AI156" s="27"/>
    </row>
    <row r="157" spans="17:43" x14ac:dyDescent="0.15">
      <c r="Q157" s="3"/>
      <c r="R157" s="343"/>
      <c r="S157" s="335"/>
      <c r="T157" s="335"/>
      <c r="U157" s="335"/>
      <c r="V157" s="335"/>
      <c r="W157" s="335"/>
      <c r="X157" s="335"/>
      <c r="Y157" s="344"/>
      <c r="Z157" s="335"/>
      <c r="AA157" s="27"/>
      <c r="AB157" s="27"/>
      <c r="AC157" s="27"/>
      <c r="AD157" s="27"/>
      <c r="AE157" s="29"/>
      <c r="AF157" s="32"/>
      <c r="AG157" s="32"/>
      <c r="AH157" s="27"/>
      <c r="AI157" s="27"/>
    </row>
    <row r="158" spans="17:43" ht="17.25" x14ac:dyDescent="0.15">
      <c r="Q158" s="40" t="s">
        <v>279</v>
      </c>
      <c r="R158" s="31"/>
      <c r="S158" s="27"/>
      <c r="T158" s="27"/>
      <c r="U158" s="27"/>
      <c r="V158" s="27"/>
      <c r="W158" s="27"/>
      <c r="X158" s="27"/>
      <c r="Y158" s="27"/>
      <c r="Z158" s="27"/>
      <c r="AA158" s="27"/>
      <c r="AB158" s="27"/>
      <c r="AC158" s="27"/>
      <c r="AD158" s="27"/>
      <c r="AE158" s="29"/>
      <c r="AF158" s="32"/>
      <c r="AG158" s="32"/>
      <c r="AH158" s="27"/>
      <c r="AI158" s="27"/>
    </row>
    <row r="159" spans="17:43" ht="17.25" x14ac:dyDescent="0.15">
      <c r="Q159" s="40"/>
    </row>
    <row r="160" spans="17:43" ht="43.5" customHeight="1" x14ac:dyDescent="0.15">
      <c r="Q160" s="513" t="s">
        <v>333</v>
      </c>
      <c r="R160" s="514"/>
      <c r="S160" s="515"/>
      <c r="T160" s="511"/>
      <c r="U160" s="512"/>
      <c r="V160" s="3"/>
    </row>
    <row r="161" spans="17:17" ht="14.25" x14ac:dyDescent="0.15">
      <c r="Q161" s="41" t="s">
        <v>12</v>
      </c>
    </row>
  </sheetData>
  <sheetProtection algorithmName="SHA-512" hashValue="4klABvMXviX9BFNpiZPILhzixLixtqUw9U1GSJR8oCuaQ24vdLJ9+AlLl3P0sSKPJ6z2KebpJrnIpPr2xeWX3w==" saltValue="3TPtsqVjzGr9/5Xtiq6u+w==" spinCount="100000" sheet="1" objects="1" scenarios="1"/>
  <protectedRanges>
    <protectedRange sqref="R68:X73 R75:X80 R86:Y91 R93:Y98 R104:Y109 R111:Y116 R129:Y133 T160:U160 R149:Y154" name="入力２"/>
    <protectedRange sqref="C46:I55 C35:H40 D7:E12" name="素材入力"/>
  </protectedRanges>
  <mergeCells count="100">
    <mergeCell ref="I36:J38"/>
    <mergeCell ref="T160:U160"/>
    <mergeCell ref="Q160:S160"/>
    <mergeCell ref="D6:E6"/>
    <mergeCell ref="D7:E7"/>
    <mergeCell ref="D8:E8"/>
    <mergeCell ref="D29:G29"/>
    <mergeCell ref="D12:E12"/>
    <mergeCell ref="D13:E13"/>
    <mergeCell ref="D9:E9"/>
    <mergeCell ref="D10:E10"/>
    <mergeCell ref="D11:E11"/>
    <mergeCell ref="D39:E39"/>
    <mergeCell ref="D40:E40"/>
    <mergeCell ref="D41:E41"/>
    <mergeCell ref="D57:G57"/>
    <mergeCell ref="D34:E34"/>
    <mergeCell ref="D35:E35"/>
    <mergeCell ref="D36:E36"/>
    <mergeCell ref="D37:E37"/>
    <mergeCell ref="D38:E38"/>
    <mergeCell ref="U131:W131"/>
    <mergeCell ref="U123:W123"/>
    <mergeCell ref="U124:W124"/>
    <mergeCell ref="U125:W125"/>
    <mergeCell ref="U129:W129"/>
    <mergeCell ref="U130:W130"/>
    <mergeCell ref="U115:W115"/>
    <mergeCell ref="U116:W116"/>
    <mergeCell ref="U117:W117"/>
    <mergeCell ref="U120:W121"/>
    <mergeCell ref="U122:W122"/>
    <mergeCell ref="U132:W132"/>
    <mergeCell ref="U133:W133"/>
    <mergeCell ref="Q142:Q148"/>
    <mergeCell ref="Q149:Q155"/>
    <mergeCell ref="U134:W134"/>
    <mergeCell ref="U135:W135"/>
    <mergeCell ref="Q140:Q141"/>
    <mergeCell ref="R140:R141"/>
    <mergeCell ref="S140:S141"/>
    <mergeCell ref="T140:T141"/>
    <mergeCell ref="U140:V140"/>
    <mergeCell ref="W140:X140"/>
    <mergeCell ref="U114:W114"/>
    <mergeCell ref="U97:W97"/>
    <mergeCell ref="U98:W98"/>
    <mergeCell ref="U99:W99"/>
    <mergeCell ref="U108:W108"/>
    <mergeCell ref="U109:W109"/>
    <mergeCell ref="U110:W110"/>
    <mergeCell ref="U111:W111"/>
    <mergeCell ref="U112:W112"/>
    <mergeCell ref="U113:W113"/>
    <mergeCell ref="U94:W94"/>
    <mergeCell ref="U95:W95"/>
    <mergeCell ref="U96:W96"/>
    <mergeCell ref="U92:W92"/>
    <mergeCell ref="U93:W93"/>
    <mergeCell ref="T84:T85"/>
    <mergeCell ref="U84:W85"/>
    <mergeCell ref="U87:W87"/>
    <mergeCell ref="U91:W91"/>
    <mergeCell ref="U86:W86"/>
    <mergeCell ref="U88:W88"/>
    <mergeCell ref="U89:W89"/>
    <mergeCell ref="U90:W90"/>
    <mergeCell ref="AG66:AG67"/>
    <mergeCell ref="Q68:Q74"/>
    <mergeCell ref="Q75:Q81"/>
    <mergeCell ref="Q129:Q135"/>
    <mergeCell ref="Q122:Q128"/>
    <mergeCell ref="U126:W126"/>
    <mergeCell ref="U127:W127"/>
    <mergeCell ref="U128:W128"/>
    <mergeCell ref="Q120:Q121"/>
    <mergeCell ref="R120:R121"/>
    <mergeCell ref="S120:S121"/>
    <mergeCell ref="Q104:Q110"/>
    <mergeCell ref="Q111:Q117"/>
    <mergeCell ref="U104:W104"/>
    <mergeCell ref="U105:W105"/>
    <mergeCell ref="U106:W106"/>
    <mergeCell ref="T102:T103"/>
    <mergeCell ref="U102:W103"/>
    <mergeCell ref="U107:W107"/>
    <mergeCell ref="Q102:Q103"/>
    <mergeCell ref="R102:R103"/>
    <mergeCell ref="S102:S103"/>
    <mergeCell ref="Q84:Q85"/>
    <mergeCell ref="R84:R85"/>
    <mergeCell ref="S84:S85"/>
    <mergeCell ref="Q86:Q92"/>
    <mergeCell ref="Q93:Q99"/>
    <mergeCell ref="Q66:Q67"/>
    <mergeCell ref="R66:R67"/>
    <mergeCell ref="S66:S67"/>
    <mergeCell ref="W66:X66"/>
    <mergeCell ref="T66:T67"/>
    <mergeCell ref="U66:V66"/>
  </mergeCells>
  <phoneticPr fontId="2"/>
  <dataValidations count="3">
    <dataValidation type="list" allowBlank="1" showInputMessage="1" showErrorMessage="1" sqref="H46:H55" xr:uid="{51827872-0209-4BE4-AA4E-44FCCDA411FC}">
      <formula1>$M$43:$M$44</formula1>
    </dataValidation>
    <dataValidation type="list" allowBlank="1" showInputMessage="1" showErrorMessage="1" prompt="素材を選択" sqref="D35:E40 D7:E12" xr:uid="{0D597E16-1614-4919-B07A-8922A8569826}">
      <formula1>素材名</formula1>
    </dataValidation>
    <dataValidation type="list" allowBlank="1" showInputMessage="1" showErrorMessage="1" sqref="H18:H27" xr:uid="{488E111D-F491-4396-8341-DB3550544919}">
      <formula1>$AF$98:$AF$99</formula1>
    </dataValidation>
  </dataValidations>
  <pageMargins left="0.59055118110236227" right="0" top="0.55118110236220474" bottom="0.35433070866141736" header="0.31496062992125984" footer="0.31496062992125984"/>
  <pageSetup paperSize="9" scale="75" orientation="portrait" r:id="rId1"/>
  <headerFooter>
    <oddFooter>&amp;R&amp;14R５（補正）太陽光</oddFooter>
  </headerFooter>
  <rowBreaks count="1" manualBreakCount="1">
    <brk id="136" min="15" max="25" man="1"/>
  </rowBreaks>
  <ignoredErrors>
    <ignoredError sqref="Y74" formula="1"/>
    <ignoredError sqref="Y149:Y15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入出力データ!$B$10:$B$18</xm:f>
          </x14:formula1>
          <xm:sqref>U129:W130 U111:W116 U122:W123 U86:W91 U93:W98 U104:W109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103"/>
  <sheetViews>
    <sheetView showGridLines="0" showZeros="0" zoomScale="70" zoomScaleNormal="70" workbookViewId="0"/>
  </sheetViews>
  <sheetFormatPr defaultRowHeight="13.5" x14ac:dyDescent="0.15"/>
  <cols>
    <col min="1" max="1" width="9" customWidth="1"/>
    <col min="2" max="2" width="3.375" customWidth="1"/>
    <col min="3" max="3" width="32.875" customWidth="1"/>
    <col min="4" max="10" width="13" customWidth="1"/>
    <col min="11" max="11" width="2.875" customWidth="1"/>
    <col min="12" max="12" width="18.25" customWidth="1"/>
    <col min="13" max="19" width="15" customWidth="1"/>
    <col min="20" max="20" width="9.75" customWidth="1"/>
    <col min="21" max="21" width="6.625" customWidth="1"/>
    <col min="22" max="22" width="10.625" customWidth="1"/>
    <col min="23" max="23" width="13.25" customWidth="1"/>
    <col min="24" max="27" width="15.625" customWidth="1"/>
    <col min="32" max="32" width="36.625" customWidth="1"/>
    <col min="33" max="33" width="16.875" customWidth="1"/>
    <col min="34" max="35" width="15.875" customWidth="1"/>
  </cols>
  <sheetData>
    <row r="1" spans="2:12" x14ac:dyDescent="0.15">
      <c r="G1" s="3"/>
    </row>
    <row r="2" spans="2:12" ht="27.75" customHeight="1" x14ac:dyDescent="0.15">
      <c r="G2" s="3"/>
      <c r="H2" s="393" t="s">
        <v>293</v>
      </c>
      <c r="I2" s="545"/>
      <c r="J2" s="546"/>
      <c r="K2" s="546"/>
      <c r="L2" s="547"/>
    </row>
    <row r="3" spans="2:12" ht="57" customHeight="1" x14ac:dyDescent="0.15">
      <c r="B3" s="291" t="s">
        <v>231</v>
      </c>
      <c r="C3" s="287"/>
      <c r="D3" s="287"/>
      <c r="E3" s="287"/>
      <c r="F3" s="287"/>
    </row>
    <row r="4" spans="2:12" ht="57" customHeight="1" x14ac:dyDescent="0.15">
      <c r="B4" s="286" t="s">
        <v>0</v>
      </c>
      <c r="C4" s="286" t="s">
        <v>205</v>
      </c>
      <c r="D4" s="287"/>
      <c r="E4" s="287"/>
      <c r="F4" s="287"/>
      <c r="G4" s="284"/>
      <c r="H4" s="284"/>
      <c r="I4" s="284"/>
      <c r="J4" s="284"/>
      <c r="K4" s="284"/>
    </row>
    <row r="5" spans="2:12" ht="57" customHeight="1" thickBot="1" x14ac:dyDescent="0.2">
      <c r="B5" s="287"/>
      <c r="C5" s="522" t="s">
        <v>203</v>
      </c>
      <c r="D5" s="523"/>
      <c r="E5" s="522" t="s">
        <v>204</v>
      </c>
      <c r="F5" s="524"/>
      <c r="G5" s="284"/>
      <c r="H5" s="284"/>
      <c r="I5" s="284"/>
      <c r="J5" s="284"/>
      <c r="K5" s="284"/>
    </row>
    <row r="6" spans="2:12" ht="39.950000000000003" customHeight="1" thickTop="1" x14ac:dyDescent="0.15">
      <c r="B6" s="287"/>
      <c r="C6" s="527">
        <f>入力シート!D35</f>
        <v>0</v>
      </c>
      <c r="D6" s="527"/>
      <c r="E6" s="530">
        <f>入力シート!F35-入力シート!F7</f>
        <v>0</v>
      </c>
      <c r="F6" s="531"/>
      <c r="G6" s="284"/>
      <c r="H6" s="284"/>
      <c r="I6" s="284"/>
      <c r="J6" s="284"/>
      <c r="K6" s="284"/>
    </row>
    <row r="7" spans="2:12" ht="39.950000000000003" customHeight="1" x14ac:dyDescent="0.15">
      <c r="B7" s="287"/>
      <c r="C7" s="528">
        <f>入力シート!D36</f>
        <v>0</v>
      </c>
      <c r="D7" s="528"/>
      <c r="E7" s="520">
        <f>入力シート!F36-入力シート!F8</f>
        <v>0</v>
      </c>
      <c r="F7" s="521"/>
      <c r="G7" s="284"/>
      <c r="H7" s="284"/>
      <c r="I7" s="284"/>
      <c r="J7" s="284"/>
      <c r="K7" s="284"/>
    </row>
    <row r="8" spans="2:12" ht="39.950000000000003" customHeight="1" x14ac:dyDescent="0.15">
      <c r="B8" s="287"/>
      <c r="C8" s="528">
        <f>入力シート!D37</f>
        <v>0</v>
      </c>
      <c r="D8" s="528"/>
      <c r="E8" s="520">
        <f>入力シート!F37-入力シート!F9</f>
        <v>0</v>
      </c>
      <c r="F8" s="521"/>
      <c r="G8" s="284"/>
      <c r="H8" s="284"/>
      <c r="I8" s="284"/>
      <c r="J8" s="284"/>
      <c r="K8" s="284"/>
    </row>
    <row r="9" spans="2:12" ht="39.950000000000003" customHeight="1" x14ac:dyDescent="0.15">
      <c r="B9" s="287"/>
      <c r="C9" s="528">
        <f>入力シート!D38</f>
        <v>0</v>
      </c>
      <c r="D9" s="528"/>
      <c r="E9" s="520">
        <f>入力シート!F38-入力シート!F10</f>
        <v>0</v>
      </c>
      <c r="F9" s="521"/>
      <c r="G9" s="284"/>
      <c r="H9" s="284"/>
      <c r="I9" s="284"/>
      <c r="J9" s="284"/>
      <c r="K9" s="284"/>
    </row>
    <row r="10" spans="2:12" ht="39.950000000000003" customHeight="1" x14ac:dyDescent="0.15">
      <c r="B10" s="287"/>
      <c r="C10" s="528">
        <f>入力シート!D39</f>
        <v>0</v>
      </c>
      <c r="D10" s="528"/>
      <c r="E10" s="520">
        <f>入力シート!F39-入力シート!F11</f>
        <v>0</v>
      </c>
      <c r="F10" s="521"/>
      <c r="G10" s="284"/>
      <c r="H10" s="284"/>
      <c r="I10" s="284"/>
      <c r="J10" s="284"/>
      <c r="K10" s="284"/>
    </row>
    <row r="11" spans="2:12" ht="39.950000000000003" customHeight="1" x14ac:dyDescent="0.15">
      <c r="B11" s="287"/>
      <c r="C11" s="529">
        <f>入力シート!D40</f>
        <v>0</v>
      </c>
      <c r="D11" s="529"/>
      <c r="E11" s="520">
        <f>入力シート!F40-入力シート!F12</f>
        <v>0</v>
      </c>
      <c r="F11" s="521"/>
      <c r="G11" s="284"/>
      <c r="H11" s="284"/>
      <c r="I11" s="284"/>
      <c r="J11" s="284"/>
      <c r="K11" s="284"/>
    </row>
    <row r="12" spans="2:12" ht="39.950000000000003" customHeight="1" x14ac:dyDescent="0.15">
      <c r="B12" s="287"/>
      <c r="C12" s="525" t="s">
        <v>2</v>
      </c>
      <c r="D12" s="526"/>
      <c r="E12" s="520">
        <f>SUM(E6:F11)</f>
        <v>0</v>
      </c>
      <c r="F12" s="521"/>
      <c r="G12" s="284"/>
      <c r="H12" s="284"/>
      <c r="I12" s="284"/>
      <c r="J12" s="284"/>
      <c r="K12" s="284"/>
    </row>
    <row r="13" spans="2:12" ht="57" customHeight="1" x14ac:dyDescent="0.15">
      <c r="B13" s="285"/>
      <c r="C13" s="284"/>
      <c r="D13" s="284"/>
      <c r="E13" s="284"/>
      <c r="F13" s="284"/>
      <c r="G13" s="284"/>
      <c r="H13" s="284"/>
      <c r="I13" s="284"/>
      <c r="J13" s="284"/>
      <c r="K13" s="284"/>
    </row>
    <row r="14" spans="2:12" ht="38.25" customHeight="1" x14ac:dyDescent="0.15">
      <c r="B14" s="286" t="s">
        <v>3</v>
      </c>
      <c r="C14" s="286" t="s">
        <v>206</v>
      </c>
      <c r="D14" s="287"/>
      <c r="E14" s="287"/>
      <c r="F14" s="284"/>
      <c r="G14" s="284"/>
      <c r="H14" s="284"/>
      <c r="I14" s="284"/>
      <c r="J14" s="284"/>
      <c r="K14" s="284"/>
    </row>
    <row r="15" spans="2:12" ht="45" customHeight="1" x14ac:dyDescent="0.15">
      <c r="B15" s="284"/>
      <c r="C15" s="355" t="s">
        <v>4</v>
      </c>
      <c r="D15" s="356"/>
      <c r="E15" s="356"/>
      <c r="F15" s="356"/>
      <c r="G15" s="356"/>
      <c r="H15" s="356"/>
      <c r="I15" s="356"/>
      <c r="J15" s="356"/>
      <c r="K15" s="356"/>
      <c r="L15" s="357"/>
    </row>
    <row r="16" spans="2:12" ht="50.1" customHeight="1" x14ac:dyDescent="0.15">
      <c r="B16" s="284"/>
      <c r="C16" s="360" t="s">
        <v>5</v>
      </c>
      <c r="D16" s="361" t="s">
        <v>6</v>
      </c>
      <c r="E16" s="361" t="s">
        <v>200</v>
      </c>
      <c r="F16" s="361" t="s">
        <v>212</v>
      </c>
      <c r="G16" s="361" t="s">
        <v>196</v>
      </c>
      <c r="H16" s="361" t="s">
        <v>201</v>
      </c>
      <c r="I16" s="361" t="s">
        <v>202</v>
      </c>
      <c r="J16" s="360" t="s">
        <v>7</v>
      </c>
      <c r="K16" s="362"/>
      <c r="L16" s="361" t="s">
        <v>285</v>
      </c>
    </row>
    <row r="17" spans="2:25" ht="50.1" customHeight="1" x14ac:dyDescent="0.15">
      <c r="B17" s="284"/>
      <c r="C17" s="363" t="s">
        <v>8</v>
      </c>
      <c r="D17" s="364">
        <f>入力シート!Y74</f>
        <v>0</v>
      </c>
      <c r="E17" s="364">
        <f>入力シート!Y92</f>
        <v>0</v>
      </c>
      <c r="F17" s="364">
        <f>入力シート!Y128</f>
        <v>0</v>
      </c>
      <c r="G17" s="364">
        <f>入力シート!Y110</f>
        <v>0</v>
      </c>
      <c r="H17" s="367">
        <f>入力シート!I41</f>
        <v>0</v>
      </c>
      <c r="I17" s="364">
        <f>入力シート!Y148</f>
        <v>0</v>
      </c>
      <c r="J17" s="365">
        <f>SUM(D17:I17)</f>
        <v>0</v>
      </c>
      <c r="K17" s="366"/>
      <c r="L17" s="298"/>
    </row>
    <row r="18" spans="2:25" ht="50.1" customHeight="1" x14ac:dyDescent="0.15">
      <c r="B18" s="284"/>
      <c r="C18" s="363" t="s">
        <v>9</v>
      </c>
      <c r="D18" s="367">
        <f>入力シート!Y81</f>
        <v>0</v>
      </c>
      <c r="E18" s="367">
        <f>入力シート!Y99</f>
        <v>0</v>
      </c>
      <c r="F18" s="367">
        <f>入力シート!Y135</f>
        <v>0</v>
      </c>
      <c r="G18" s="367">
        <f>入力シート!Y117</f>
        <v>0</v>
      </c>
      <c r="H18" s="364">
        <f>入力シート!I13</f>
        <v>0</v>
      </c>
      <c r="I18" s="367">
        <f>入力シート!Y155</f>
        <v>0</v>
      </c>
      <c r="J18" s="365">
        <f>SUM(D18:I18)</f>
        <v>0</v>
      </c>
      <c r="K18" s="366"/>
      <c r="L18" s="298"/>
    </row>
    <row r="19" spans="2:25" ht="50.1" customHeight="1" x14ac:dyDescent="0.15">
      <c r="B19" s="284"/>
      <c r="C19" s="368" t="s">
        <v>10</v>
      </c>
      <c r="D19" s="367">
        <f t="shared" ref="D19:J19" si="0">D17-D18</f>
        <v>0</v>
      </c>
      <c r="E19" s="367">
        <f t="shared" si="0"/>
        <v>0</v>
      </c>
      <c r="F19" s="367">
        <f>F17-F18</f>
        <v>0</v>
      </c>
      <c r="G19" s="367">
        <f>G17-G18</f>
        <v>0</v>
      </c>
      <c r="H19" s="367">
        <f>H17-H18</f>
        <v>0</v>
      </c>
      <c r="I19" s="367">
        <f t="shared" si="0"/>
        <v>0</v>
      </c>
      <c r="J19" s="369">
        <f t="shared" si="0"/>
        <v>0</v>
      </c>
      <c r="K19" s="370"/>
      <c r="L19" s="298"/>
    </row>
    <row r="20" spans="2:25" ht="31.7" customHeight="1" x14ac:dyDescent="0.15">
      <c r="B20" s="284"/>
      <c r="C20" s="284"/>
      <c r="D20" s="284"/>
      <c r="E20" s="284"/>
      <c r="F20" s="284"/>
      <c r="G20" s="284"/>
      <c r="H20" s="284"/>
      <c r="I20" s="284"/>
      <c r="J20" s="284"/>
      <c r="K20" s="284"/>
    </row>
    <row r="21" spans="2:25" ht="18.75" customHeight="1" x14ac:dyDescent="0.15">
      <c r="B21" s="284"/>
      <c r="C21" s="284"/>
      <c r="D21" s="284"/>
      <c r="E21" s="284"/>
      <c r="F21" s="284"/>
      <c r="G21" s="284"/>
      <c r="H21" s="284"/>
      <c r="I21" s="284"/>
      <c r="J21" s="284"/>
      <c r="K21" s="284"/>
    </row>
    <row r="22" spans="2:25" ht="30.75" customHeight="1" x14ac:dyDescent="0.15">
      <c r="B22" s="286" t="s">
        <v>11</v>
      </c>
      <c r="C22" s="286" t="s">
        <v>277</v>
      </c>
      <c r="D22" s="287"/>
      <c r="E22" s="287"/>
      <c r="F22" s="287"/>
      <c r="G22" s="287"/>
      <c r="H22" s="284"/>
      <c r="I22" s="284"/>
      <c r="J22" s="284"/>
      <c r="K22" s="284"/>
    </row>
    <row r="23" spans="2:25" ht="47.25" customHeight="1" x14ac:dyDescent="0.15">
      <c r="B23" s="287"/>
      <c r="C23" s="541" t="s">
        <v>278</v>
      </c>
      <c r="D23" s="519"/>
      <c r="E23" s="543">
        <f>入力シート!T160</f>
        <v>0</v>
      </c>
      <c r="F23" s="543"/>
      <c r="G23" s="543"/>
      <c r="H23" s="540"/>
      <c r="I23" s="540"/>
      <c r="J23" s="7"/>
    </row>
    <row r="24" spans="2:25" ht="30.2" customHeight="1" x14ac:dyDescent="0.15">
      <c r="B24" s="287"/>
      <c r="C24" s="288"/>
      <c r="D24" s="287"/>
      <c r="E24" s="287"/>
      <c r="F24" s="287"/>
      <c r="G24" s="287"/>
      <c r="H24" s="542"/>
      <c r="I24" s="542"/>
    </row>
    <row r="25" spans="2:25" ht="30.2" customHeight="1" x14ac:dyDescent="0.15">
      <c r="B25" s="287"/>
      <c r="C25" s="287"/>
      <c r="D25" s="287"/>
      <c r="E25" s="287"/>
      <c r="F25" s="287"/>
      <c r="G25" s="287"/>
      <c r="H25" s="542"/>
      <c r="I25" s="542"/>
    </row>
    <row r="26" spans="2:25" ht="30.2" customHeight="1" x14ac:dyDescent="0.15">
      <c r="B26" s="286" t="s">
        <v>13</v>
      </c>
      <c r="C26" s="286" t="s">
        <v>14</v>
      </c>
      <c r="D26" s="287"/>
      <c r="E26" s="287"/>
      <c r="F26" s="287"/>
      <c r="G26" s="287"/>
      <c r="H26" s="542"/>
      <c r="I26" s="542"/>
    </row>
    <row r="27" spans="2:25" ht="38.25" customHeight="1" x14ac:dyDescent="0.15">
      <c r="B27" s="287"/>
      <c r="C27" s="288" t="s">
        <v>15</v>
      </c>
      <c r="D27" s="287"/>
      <c r="E27" s="287"/>
      <c r="F27" s="287"/>
      <c r="G27" s="287"/>
      <c r="H27" s="542"/>
      <c r="I27" s="542"/>
    </row>
    <row r="28" spans="2:25" ht="48" customHeight="1" x14ac:dyDescent="0.15">
      <c r="B28" s="287"/>
      <c r="C28" s="536" t="s">
        <v>16</v>
      </c>
      <c r="D28" s="535"/>
      <c r="E28" s="544">
        <f>J19</f>
        <v>0</v>
      </c>
      <c r="F28" s="544"/>
      <c r="G28" s="544"/>
      <c r="I28" s="39"/>
      <c r="X28" s="540"/>
      <c r="Y28" s="540"/>
    </row>
    <row r="29" spans="2:25" ht="35.450000000000003" hidden="1" customHeight="1" x14ac:dyDescent="0.15">
      <c r="B29" s="287"/>
      <c r="C29" s="287"/>
      <c r="D29" s="289" t="s">
        <v>17</v>
      </c>
      <c r="E29" s="312" t="e">
        <f>+#REF!</f>
        <v>#REF!</v>
      </c>
      <c r="F29" s="286"/>
      <c r="G29" s="287"/>
      <c r="H29" s="542"/>
      <c r="I29" s="542"/>
      <c r="W29" s="3"/>
      <c r="X29" s="4"/>
      <c r="Y29" s="3"/>
    </row>
    <row r="30" spans="2:25" ht="33.75" customHeight="1" x14ac:dyDescent="0.15">
      <c r="B30" s="287"/>
      <c r="C30" s="288" t="s">
        <v>18</v>
      </c>
      <c r="D30" s="287"/>
      <c r="E30" s="290"/>
      <c r="F30" s="286"/>
      <c r="G30" s="287"/>
      <c r="H30" s="542"/>
      <c r="I30" s="542"/>
      <c r="W30" s="3"/>
      <c r="X30" s="4"/>
      <c r="Y30" s="3"/>
    </row>
    <row r="31" spans="2:25" ht="37.5" customHeight="1" x14ac:dyDescent="0.15">
      <c r="B31" s="287"/>
      <c r="C31" s="537" t="s">
        <v>19</v>
      </c>
      <c r="D31" s="537"/>
      <c r="E31" s="290"/>
      <c r="F31" s="286"/>
      <c r="G31" s="287"/>
      <c r="H31" s="542"/>
      <c r="I31" s="542"/>
      <c r="W31" s="3"/>
      <c r="X31" s="4"/>
      <c r="Y31" s="3"/>
    </row>
    <row r="32" spans="2:25" ht="48" customHeight="1" x14ac:dyDescent="0.15">
      <c r="B32" s="287"/>
      <c r="C32" s="532" t="s">
        <v>20</v>
      </c>
      <c r="D32" s="533"/>
      <c r="E32" s="538" t="str">
        <f>IF(E23=0,"",ROUNDDOWN(E23/E28/9,0))</f>
        <v/>
      </c>
      <c r="F32" s="538"/>
      <c r="G32" s="538"/>
      <c r="H32" s="542"/>
      <c r="I32" s="542"/>
      <c r="W32" s="3"/>
      <c r="X32" s="4"/>
      <c r="Y32" s="3"/>
    </row>
    <row r="33" spans="2:27" ht="47.25" customHeight="1" x14ac:dyDescent="0.15">
      <c r="B33" s="287"/>
      <c r="C33" s="534" t="s">
        <v>21</v>
      </c>
      <c r="D33" s="535"/>
      <c r="E33" s="539" t="str">
        <f>IF(E12=0,"",ROUNDDOWN(E23/E12/9,0))</f>
        <v/>
      </c>
      <c r="F33" s="539"/>
      <c r="G33" s="539"/>
      <c r="H33" s="542"/>
      <c r="I33" s="542"/>
      <c r="W33" s="3"/>
      <c r="X33" s="4"/>
      <c r="Y33" s="3"/>
    </row>
    <row r="34" spans="2:27" ht="15" customHeight="1" x14ac:dyDescent="0.15">
      <c r="D34" s="6"/>
      <c r="E34" s="5"/>
    </row>
    <row r="35" spans="2:27" ht="7.5" customHeight="1" x14ac:dyDescent="0.15">
      <c r="D35" s="6"/>
      <c r="E35" s="5"/>
    </row>
    <row r="36" spans="2:27" ht="29.25" customHeight="1" x14ac:dyDescent="0.15"/>
    <row r="37" spans="2:27" ht="32.25" customHeight="1" x14ac:dyDescent="0.15">
      <c r="AA37" s="8"/>
    </row>
    <row r="38" spans="2:27" ht="20.100000000000001" customHeight="1" x14ac:dyDescent="0.15">
      <c r="AA38" s="2"/>
    </row>
    <row r="39" spans="2:27" ht="20.100000000000001" customHeight="1" x14ac:dyDescent="0.15">
      <c r="AA39" s="2"/>
    </row>
    <row r="40" spans="2:27" ht="20.100000000000001" customHeight="1" x14ac:dyDescent="0.15">
      <c r="AA40" s="2"/>
    </row>
    <row r="41" spans="2:27" ht="20.100000000000001" customHeight="1" x14ac:dyDescent="0.15">
      <c r="AA41" s="2"/>
    </row>
    <row r="42" spans="2:27" ht="20.100000000000001" customHeight="1" x14ac:dyDescent="0.15">
      <c r="AA42" s="2"/>
    </row>
    <row r="43" spans="2:27" ht="20.100000000000001" customHeight="1" x14ac:dyDescent="0.15">
      <c r="AA43" s="2"/>
    </row>
    <row r="44" spans="2:27" ht="20.100000000000001" customHeight="1" x14ac:dyDescent="0.15"/>
    <row r="45" spans="2:27" ht="20.100000000000001" customHeight="1" x14ac:dyDescent="0.15"/>
    <row r="46" spans="2:27" ht="20.100000000000001" customHeight="1" x14ac:dyDescent="0.15"/>
    <row r="47" spans="2:27" ht="20.100000000000001" customHeight="1" x14ac:dyDescent="0.15"/>
    <row r="48" spans="2:27" ht="20.100000000000001" customHeight="1" x14ac:dyDescent="0.15"/>
    <row r="49" spans="27:27" ht="20.100000000000001" customHeight="1" x14ac:dyDescent="0.15"/>
    <row r="50" spans="27:27" ht="20.100000000000001" customHeight="1" x14ac:dyDescent="0.15">
      <c r="AA50" s="9"/>
    </row>
    <row r="51" spans="27:27" ht="20.100000000000001" customHeight="1" x14ac:dyDescent="0.15">
      <c r="AA51" s="9"/>
    </row>
    <row r="52" spans="27:27" ht="20.100000000000001" customHeight="1" x14ac:dyDescent="0.15">
      <c r="AA52" s="9"/>
    </row>
    <row r="53" spans="27:27" ht="20.100000000000001" customHeight="1" x14ac:dyDescent="0.15">
      <c r="AA53" s="9"/>
    </row>
    <row r="54" spans="27:27" ht="20.100000000000001" customHeight="1" x14ac:dyDescent="0.15">
      <c r="AA54" s="9"/>
    </row>
    <row r="55" spans="27:27" ht="20.100000000000001" customHeight="1" x14ac:dyDescent="0.15">
      <c r="AA55" s="9"/>
    </row>
    <row r="56" spans="27:27" ht="20.100000000000001" customHeight="1" x14ac:dyDescent="0.15"/>
    <row r="57" spans="27:27" ht="20.100000000000001" customHeight="1" x14ac:dyDescent="0.15"/>
    <row r="58" spans="27:27" ht="20.100000000000001" customHeight="1" x14ac:dyDescent="0.15"/>
    <row r="59" spans="27:27" ht="20.100000000000001" customHeight="1" x14ac:dyDescent="0.15"/>
    <row r="60" spans="27:27" ht="23.25" customHeight="1" x14ac:dyDescent="0.15"/>
    <row r="61" spans="27:27" ht="23.25" customHeight="1" x14ac:dyDescent="0.15"/>
    <row r="62" spans="27:27" ht="31.7" customHeight="1" x14ac:dyDescent="0.15"/>
    <row r="63" spans="27:27" ht="19.5" customHeight="1" x14ac:dyDescent="0.15"/>
    <row r="64" spans="27:27" ht="19.5" customHeight="1" x14ac:dyDescent="0.15"/>
    <row r="65" ht="19.5" customHeight="1" x14ac:dyDescent="0.15"/>
    <row r="66" ht="19.5" customHeight="1" x14ac:dyDescent="0.15"/>
    <row r="68" ht="29.25" customHeight="1" x14ac:dyDescent="0.15"/>
    <row r="69" ht="44.45" customHeight="1" x14ac:dyDescent="0.15"/>
    <row r="70" ht="19.5"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18.75" customHeight="1" x14ac:dyDescent="0.15"/>
    <row r="80" ht="18.75" customHeight="1" x14ac:dyDescent="0.15"/>
    <row r="81" spans="31:35" ht="21.2" customHeight="1" x14ac:dyDescent="0.15"/>
    <row r="84" spans="31:35" x14ac:dyDescent="0.15">
      <c r="AE84" s="11"/>
      <c r="AF84" s="21"/>
      <c r="AG84" s="18"/>
      <c r="AH84" s="18"/>
      <c r="AI84" s="18"/>
    </row>
    <row r="85" spans="31:35" ht="24.95" customHeight="1" x14ac:dyDescent="0.15">
      <c r="AE85" s="11"/>
      <c r="AF85" s="22"/>
      <c r="AG85" s="19" t="s">
        <v>22</v>
      </c>
      <c r="AH85" s="18"/>
      <c r="AI85" s="18"/>
    </row>
    <row r="86" spans="31:35" ht="24.95" customHeight="1" x14ac:dyDescent="0.15">
      <c r="AE86" s="12" t="s">
        <v>23</v>
      </c>
      <c r="AF86" s="23" t="s">
        <v>24</v>
      </c>
      <c r="AG86" s="16"/>
      <c r="AH86" s="13"/>
      <c r="AI86" s="13"/>
    </row>
    <row r="87" spans="31:35" ht="24.95" customHeight="1" x14ac:dyDescent="0.15">
      <c r="AE87" s="10"/>
      <c r="AF87" s="20" t="e">
        <f>#REF!</f>
        <v>#REF!</v>
      </c>
      <c r="AG87" s="17"/>
      <c r="AH87" s="14"/>
      <c r="AI87" s="15"/>
    </row>
    <row r="88" spans="31:35" ht="24.95" customHeight="1" x14ac:dyDescent="0.15">
      <c r="AE88" s="10"/>
      <c r="AF88" s="20" t="e">
        <f>#REF!</f>
        <v>#REF!</v>
      </c>
      <c r="AG88" s="17"/>
      <c r="AH88" s="14"/>
      <c r="AI88" s="15"/>
    </row>
    <row r="89" spans="31:35" ht="24.95" customHeight="1" x14ac:dyDescent="0.15">
      <c r="AE89" s="10"/>
      <c r="AF89" s="20" t="e">
        <f>#REF!</f>
        <v>#REF!</v>
      </c>
      <c r="AG89" s="17"/>
      <c r="AH89" s="14"/>
      <c r="AI89" s="15"/>
    </row>
    <row r="90" spans="31:35" ht="24.95" customHeight="1" x14ac:dyDescent="0.15">
      <c r="AE90" s="10"/>
      <c r="AF90" s="20" t="e">
        <f>#REF!</f>
        <v>#REF!</v>
      </c>
      <c r="AG90" s="17"/>
      <c r="AH90" s="14"/>
      <c r="AI90" s="15"/>
    </row>
    <row r="91" spans="31:35" ht="24.95" customHeight="1" x14ac:dyDescent="0.15">
      <c r="AE91" s="10"/>
      <c r="AF91" s="20" t="e">
        <f>#REF!</f>
        <v>#REF!</v>
      </c>
      <c r="AG91" s="17"/>
      <c r="AH91" s="14"/>
      <c r="AI91" s="15"/>
    </row>
    <row r="92" spans="31:35" ht="24.95" customHeight="1" x14ac:dyDescent="0.15">
      <c r="AE92" s="10"/>
      <c r="AF92" s="20" t="e">
        <f>#REF!</f>
        <v>#REF!</v>
      </c>
      <c r="AG92" s="17"/>
      <c r="AH92" s="14"/>
      <c r="AI92" s="15"/>
    </row>
    <row r="93" spans="31:35" ht="24.95" customHeight="1" x14ac:dyDescent="0.15">
      <c r="AE93" s="10"/>
      <c r="AF93" s="20" t="e">
        <f>#REF!</f>
        <v>#REF!</v>
      </c>
      <c r="AG93" s="17"/>
      <c r="AH93" s="14"/>
      <c r="AI93" s="15"/>
    </row>
    <row r="94" spans="31:35" ht="24.95" customHeight="1" x14ac:dyDescent="0.15">
      <c r="AE94" s="10"/>
      <c r="AF94" s="20" t="e">
        <f>#REF!</f>
        <v>#REF!</v>
      </c>
      <c r="AG94" s="17"/>
      <c r="AH94" s="14"/>
      <c r="AI94" s="15"/>
    </row>
    <row r="95" spans="31:35" ht="24.95" customHeight="1" x14ac:dyDescent="0.15">
      <c r="AE95" s="10"/>
      <c r="AF95" s="20" t="e">
        <f>#REF!</f>
        <v>#REF!</v>
      </c>
      <c r="AG95" s="17"/>
      <c r="AH95" s="14"/>
      <c r="AI95" s="15"/>
    </row>
    <row r="96" spans="31:35" ht="24.95" customHeight="1" x14ac:dyDescent="0.15">
      <c r="AE96" s="10"/>
      <c r="AF96" s="20" t="e">
        <f>#REF!</f>
        <v>#REF!</v>
      </c>
      <c r="AG96" s="17"/>
      <c r="AH96" s="14"/>
      <c r="AI96" s="15"/>
    </row>
    <row r="97" spans="31:35" ht="24.95" customHeight="1" x14ac:dyDescent="0.15">
      <c r="AE97" s="10"/>
      <c r="AF97" s="20" t="e">
        <f>#REF!</f>
        <v>#REF!</v>
      </c>
      <c r="AG97" s="17"/>
      <c r="AH97" s="14"/>
      <c r="AI97" s="15"/>
    </row>
    <row r="98" spans="31:35" ht="24.95" customHeight="1" x14ac:dyDescent="0.15">
      <c r="AE98" s="10"/>
      <c r="AF98" s="20" t="e">
        <f>#REF!</f>
        <v>#REF!</v>
      </c>
      <c r="AG98" s="17"/>
      <c r="AH98" s="14"/>
      <c r="AI98" s="15"/>
    </row>
    <row r="99" spans="31:35" ht="24.95" customHeight="1" x14ac:dyDescent="0.15">
      <c r="AE99" s="10"/>
      <c r="AF99" s="25" t="e">
        <f>#REF!</f>
        <v>#REF!</v>
      </c>
      <c r="AG99" s="24"/>
      <c r="AH99" s="14"/>
      <c r="AI99" s="15"/>
    </row>
    <row r="100" spans="31:35" ht="24" customHeight="1" x14ac:dyDescent="0.15">
      <c r="AE100" s="10"/>
      <c r="AF100" s="25" t="e">
        <f>#REF!</f>
        <v>#REF!</v>
      </c>
    </row>
    <row r="101" spans="31:35" x14ac:dyDescent="0.15">
      <c r="AE101" s="10"/>
      <c r="AF101" s="25" t="e">
        <f>#REF!</f>
        <v>#REF!</v>
      </c>
    </row>
    <row r="102" spans="31:35" x14ac:dyDescent="0.15">
      <c r="AF102" s="25" t="e">
        <f>#REF!</f>
        <v>#REF!</v>
      </c>
    </row>
    <row r="103" spans="31:35" x14ac:dyDescent="0.15">
      <c r="AF103" s="25" t="e">
        <f>#REF!</f>
        <v>#REF!</v>
      </c>
    </row>
  </sheetData>
  <sheetProtection algorithmName="SHA-512" hashValue="Gi6avak07s9Mjg+h7YmUYTpnLQYC4DSnBSo/f8YzfepU8KsUuaDL6xBb/77Ar0786PLRTRzGJ2X8Gnm3Waui0A==" saltValue="aQCTnaMiu64zSiiZbr7LvQ==" spinCount="100000" sheet="1" objects="1" scenarios="1"/>
  <mergeCells count="37">
    <mergeCell ref="I2:L2"/>
    <mergeCell ref="H33:I33"/>
    <mergeCell ref="H29:I29"/>
    <mergeCell ref="H30:I30"/>
    <mergeCell ref="H31:I31"/>
    <mergeCell ref="H32:I32"/>
    <mergeCell ref="X28:Y28"/>
    <mergeCell ref="C23:D23"/>
    <mergeCell ref="H23:I23"/>
    <mergeCell ref="H24:I24"/>
    <mergeCell ref="H25:I25"/>
    <mergeCell ref="H26:I26"/>
    <mergeCell ref="H27:I27"/>
    <mergeCell ref="E23:G23"/>
    <mergeCell ref="E28:G28"/>
    <mergeCell ref="C32:D32"/>
    <mergeCell ref="C33:D33"/>
    <mergeCell ref="C28:D28"/>
    <mergeCell ref="C31:D31"/>
    <mergeCell ref="E32:G32"/>
    <mergeCell ref="E33:G33"/>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9" orientation="portrait" r:id="rId1"/>
  <headerFooter>
    <oddFooter>&amp;R&amp;14R５補正（太陽光）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ColWidth="9" defaultRowHeight="13.5" x14ac:dyDescent="0.15"/>
  <cols>
    <col min="1" max="1" width="9" style="27"/>
    <col min="2" max="2" width="3.875" style="27" customWidth="1"/>
    <col min="3" max="3" width="24.12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6384" width="9" style="27"/>
  </cols>
  <sheetData>
    <row r="1" spans="2:16" ht="18.75" x14ac:dyDescent="0.15">
      <c r="B1" s="212" t="s">
        <v>214</v>
      </c>
      <c r="K1" s="239">
        <f>入出力データ!D21</f>
        <v>0.441</v>
      </c>
      <c r="L1" s="28"/>
      <c r="N1" s="30"/>
      <c r="O1" s="31"/>
    </row>
    <row r="2" spans="2:16" x14ac:dyDescent="0.15">
      <c r="N2" s="32"/>
      <c r="O2" s="32"/>
    </row>
    <row r="3" spans="2:16" hidden="1" x14ac:dyDescent="0.15">
      <c r="C3" s="184" t="s">
        <v>25</v>
      </c>
      <c r="E3" s="551" t="s">
        <v>41</v>
      </c>
      <c r="F3" s="552"/>
      <c r="G3" s="552"/>
      <c r="H3" s="552"/>
      <c r="I3" s="552"/>
      <c r="J3" s="552"/>
      <c r="N3" s="32"/>
      <c r="O3" s="32"/>
    </row>
    <row r="4" spans="2:16" ht="40.5" hidden="1" x14ac:dyDescent="0.15">
      <c r="B4" s="211" t="s">
        <v>32</v>
      </c>
      <c r="C4" s="553" t="s">
        <v>42</v>
      </c>
      <c r="D4" s="554"/>
      <c r="E4" s="209" t="s">
        <v>43</v>
      </c>
      <c r="F4" s="209" t="s">
        <v>44</v>
      </c>
      <c r="G4" s="209" t="s">
        <v>45</v>
      </c>
      <c r="H4" s="209" t="s">
        <v>46</v>
      </c>
      <c r="I4" s="46" t="s">
        <v>47</v>
      </c>
      <c r="J4" s="46" t="s">
        <v>48</v>
      </c>
      <c r="K4" s="209" t="s">
        <v>49</v>
      </c>
      <c r="L4" s="236"/>
      <c r="N4" s="210" t="s">
        <v>50</v>
      </c>
      <c r="P4" s="209" t="s">
        <v>51</v>
      </c>
    </row>
    <row r="5" spans="2:16" hidden="1" x14ac:dyDescent="0.15">
      <c r="B5" s="35" t="str">
        <f>IF(入力シート!C18="","",入力シート!C18)</f>
        <v/>
      </c>
      <c r="C5" s="548" t="str">
        <f>IF(入力シート!D18="","",入力シート!D18)</f>
        <v/>
      </c>
      <c r="D5" s="549"/>
      <c r="E5" s="206" t="str">
        <f>IF(入力シート!E18="","",入力シート!E18)</f>
        <v/>
      </c>
      <c r="F5" s="206" t="str">
        <f>IF(入力シート!F18="","",入力シート!F18)</f>
        <v/>
      </c>
      <c r="G5" s="204" t="str">
        <f>IF(入力シート!G18="","",入力シート!G18)</f>
        <v/>
      </c>
      <c r="H5" s="34" t="str">
        <f>IF(入力シート!H18="","",入力シート!H18)</f>
        <v/>
      </c>
      <c r="I5" s="34" t="str">
        <f>IF(入力シート!I18="","",入力シート!I18)</f>
        <v/>
      </c>
      <c r="J5" s="203" t="str">
        <f t="shared" ref="J5:J14" si="0">IFERROR(IF(AND(I5&gt;0,I5&lt;=1),INT(N5*I5),INT(N5)),"")</f>
        <v/>
      </c>
      <c r="K5" s="195" t="str">
        <f t="shared" ref="K5:K14" si="1">IFERROR(ROUNDDOWN(J5*$K$18/1000,3),"")</f>
        <v/>
      </c>
      <c r="L5" s="237"/>
      <c r="N5" s="201" t="str">
        <f t="shared" ref="N5:N14" si="2">IFERROR(IF(H5="○",(0.0564*EXP(2.7518*F5/E5))*G5/F5,(0.4138*(F5/E5)+0.4307)*G5/F5),"")</f>
        <v/>
      </c>
      <c r="O5" s="207">
        <v>1</v>
      </c>
      <c r="P5" s="208">
        <f>SUMIF(B$5:B$14,O5,K$5:K$14)</f>
        <v>0</v>
      </c>
    </row>
    <row r="6" spans="2:16" hidden="1" x14ac:dyDescent="0.15">
      <c r="B6" s="35" t="str">
        <f>IF(入力シート!C19="","",入力シート!C19)</f>
        <v/>
      </c>
      <c r="C6" s="548" t="str">
        <f>IF(入力シート!D19="","",入力シート!D19)</f>
        <v/>
      </c>
      <c r="D6" s="549"/>
      <c r="E6" s="206" t="str">
        <f>IF(入力シート!E19="","",入力シート!E19)</f>
        <v/>
      </c>
      <c r="F6" s="206" t="str">
        <f>IF(入力シート!F19="","",入力シート!F19)</f>
        <v/>
      </c>
      <c r="G6" s="204" t="str">
        <f>IF(入力シート!G19="","",入力シート!G19)</f>
        <v/>
      </c>
      <c r="H6" s="34" t="str">
        <f>IF(入力シート!H19="","",入力シート!H19)</f>
        <v/>
      </c>
      <c r="I6" s="34" t="str">
        <f>IF(入力シート!I19="","",入力シート!I19)</f>
        <v/>
      </c>
      <c r="J6" s="203" t="str">
        <f t="shared" si="0"/>
        <v/>
      </c>
      <c r="K6" s="195" t="str">
        <f t="shared" si="1"/>
        <v/>
      </c>
      <c r="L6" s="237"/>
      <c r="N6" s="201" t="str">
        <f t="shared" si="2"/>
        <v/>
      </c>
      <c r="O6" s="207">
        <v>2</v>
      </c>
      <c r="P6" s="208">
        <f t="shared" ref="P6:P10" si="3">SUMIF(B$5:B$14,O6,K$5:K$14)</f>
        <v>0</v>
      </c>
    </row>
    <row r="7" spans="2:16" hidden="1" x14ac:dyDescent="0.15">
      <c r="B7" s="35" t="str">
        <f>IF(入力シート!C20="","",入力シート!C20)</f>
        <v/>
      </c>
      <c r="C7" s="548" t="str">
        <f>IF(入力シート!D20="","",入力シート!D20)</f>
        <v/>
      </c>
      <c r="D7" s="549"/>
      <c r="E7" s="206" t="str">
        <f>IF(入力シート!E20="","",入力シート!E20)</f>
        <v/>
      </c>
      <c r="F7" s="206" t="str">
        <f>IF(入力シート!F20="","",入力シート!F20)</f>
        <v/>
      </c>
      <c r="G7" s="204" t="str">
        <f>IF(入力シート!G20="","",入力シート!G20)</f>
        <v/>
      </c>
      <c r="H7" s="34" t="str">
        <f>IF(入力シート!H20="","",入力シート!H20)</f>
        <v/>
      </c>
      <c r="I7" s="34" t="str">
        <f>IF(入力シート!I20="","",入力シート!I20)</f>
        <v/>
      </c>
      <c r="J7" s="203" t="str">
        <f t="shared" si="0"/>
        <v/>
      </c>
      <c r="K7" s="195" t="str">
        <f t="shared" si="1"/>
        <v/>
      </c>
      <c r="L7" s="237"/>
      <c r="N7" s="201" t="str">
        <f t="shared" si="2"/>
        <v/>
      </c>
      <c r="O7" s="207">
        <v>3</v>
      </c>
      <c r="P7" s="208">
        <f t="shared" si="3"/>
        <v>0</v>
      </c>
    </row>
    <row r="8" spans="2:16" hidden="1" x14ac:dyDescent="0.15">
      <c r="B8" s="35" t="str">
        <f>IF(入力シート!C21="","",入力シート!C21)</f>
        <v/>
      </c>
      <c r="C8" s="548" t="str">
        <f>IF(入力シート!D21="","",入力シート!D21)</f>
        <v/>
      </c>
      <c r="D8" s="549"/>
      <c r="E8" s="206" t="str">
        <f>IF(入力シート!E21="","",入力シート!E21)</f>
        <v/>
      </c>
      <c r="F8" s="206" t="str">
        <f>IF(入力シート!F21="","",入力シート!F21)</f>
        <v/>
      </c>
      <c r="G8" s="204" t="str">
        <f>IF(入力シート!G21="","",入力シート!G21)</f>
        <v/>
      </c>
      <c r="H8" s="34" t="str">
        <f>IF(入力シート!H21="","",入力シート!H21)</f>
        <v/>
      </c>
      <c r="I8" s="34" t="str">
        <f>IF(入力シート!I21="","",入力シート!I21)</f>
        <v/>
      </c>
      <c r="J8" s="203" t="str">
        <f t="shared" si="0"/>
        <v/>
      </c>
      <c r="K8" s="195" t="str">
        <f t="shared" si="1"/>
        <v/>
      </c>
      <c r="L8" s="237"/>
      <c r="N8" s="201" t="str">
        <f t="shared" si="2"/>
        <v/>
      </c>
      <c r="O8" s="207">
        <v>4</v>
      </c>
      <c r="P8" s="208">
        <f t="shared" si="3"/>
        <v>0</v>
      </c>
    </row>
    <row r="9" spans="2:16" hidden="1" x14ac:dyDescent="0.15">
      <c r="B9" s="35" t="str">
        <f>IF(入力シート!C22="","",入力シート!C22)</f>
        <v/>
      </c>
      <c r="C9" s="548" t="str">
        <f>IF(入力シート!D22="","",入力シート!D22)</f>
        <v/>
      </c>
      <c r="D9" s="549"/>
      <c r="E9" s="206" t="str">
        <f>IF(入力シート!E22="","",入力シート!E22)</f>
        <v/>
      </c>
      <c r="F9" s="206" t="str">
        <f>IF(入力シート!F22="","",入力シート!F22)</f>
        <v/>
      </c>
      <c r="G9" s="204" t="str">
        <f>IF(入力シート!G22="","",入力シート!G22)</f>
        <v/>
      </c>
      <c r="H9" s="34" t="str">
        <f>IF(入力シート!H22="","",入力シート!H22)</f>
        <v/>
      </c>
      <c r="I9" s="34" t="str">
        <f>IF(入力シート!I22="","",入力シート!I22)</f>
        <v/>
      </c>
      <c r="J9" s="203" t="str">
        <f t="shared" si="0"/>
        <v/>
      </c>
      <c r="K9" s="195" t="str">
        <f t="shared" si="1"/>
        <v/>
      </c>
      <c r="L9" s="237"/>
      <c r="N9" s="201" t="str">
        <f t="shared" si="2"/>
        <v/>
      </c>
      <c r="O9" s="207">
        <v>5</v>
      </c>
      <c r="P9" s="208">
        <f t="shared" si="3"/>
        <v>0</v>
      </c>
    </row>
    <row r="10" spans="2:16" hidden="1" x14ac:dyDescent="0.15">
      <c r="B10" s="35" t="str">
        <f>IF(入力シート!C23="","",入力シート!C23)</f>
        <v/>
      </c>
      <c r="C10" s="548" t="str">
        <f>IF(入力シート!D23="","",入力シート!D23)</f>
        <v/>
      </c>
      <c r="D10" s="549"/>
      <c r="E10" s="206" t="str">
        <f>IF(入力シート!E23="","",入力シート!E23)</f>
        <v/>
      </c>
      <c r="F10" s="206" t="str">
        <f>IF(入力シート!F23="","",入力シート!F23)</f>
        <v/>
      </c>
      <c r="G10" s="204" t="str">
        <f>IF(入力シート!G23="","",入力シート!G23)</f>
        <v/>
      </c>
      <c r="H10" s="34" t="str">
        <f>IF(入力シート!H23="","",入力シート!H23)</f>
        <v/>
      </c>
      <c r="I10" s="34" t="str">
        <f>IF(入力シート!I23="","",入力シート!I23)</f>
        <v/>
      </c>
      <c r="J10" s="203" t="str">
        <f t="shared" si="0"/>
        <v/>
      </c>
      <c r="K10" s="202" t="str">
        <f t="shared" si="1"/>
        <v/>
      </c>
      <c r="L10" s="238"/>
      <c r="N10" s="201" t="str">
        <f t="shared" si="2"/>
        <v/>
      </c>
      <c r="O10" s="207">
        <v>6</v>
      </c>
      <c r="P10" s="208">
        <f t="shared" si="3"/>
        <v>0</v>
      </c>
    </row>
    <row r="11" spans="2:16" hidden="1" x14ac:dyDescent="0.15">
      <c r="B11" s="35" t="str">
        <f>IF(入力シート!C24="","",入力シート!C24)</f>
        <v/>
      </c>
      <c r="C11" s="548" t="str">
        <f>IF(入力シート!D24="","",入力シート!D24)</f>
        <v/>
      </c>
      <c r="D11" s="549"/>
      <c r="E11" s="206" t="str">
        <f>IF(入力シート!E24="","",入力シート!E24)</f>
        <v/>
      </c>
      <c r="F11" s="206" t="str">
        <f>IF(入力シート!F24="","",入力シート!F24)</f>
        <v/>
      </c>
      <c r="G11" s="204" t="str">
        <f>IF(入力シート!G24="","",入力シート!G24)</f>
        <v/>
      </c>
      <c r="H11" s="34" t="str">
        <f>IF(入力シート!H24="","",入力シート!H24)</f>
        <v/>
      </c>
      <c r="I11" s="34" t="str">
        <f>IF(入力シート!I24="","",入力シート!I24)</f>
        <v/>
      </c>
      <c r="J11" s="203" t="str">
        <f t="shared" si="0"/>
        <v/>
      </c>
      <c r="K11" s="202" t="str">
        <f t="shared" si="1"/>
        <v/>
      </c>
      <c r="L11" s="238"/>
      <c r="N11" s="201" t="str">
        <f t="shared" si="2"/>
        <v/>
      </c>
    </row>
    <row r="12" spans="2:16" hidden="1" x14ac:dyDescent="0.15">
      <c r="B12" s="35" t="str">
        <f>IF(入力シート!C25="","",入力シート!C25)</f>
        <v/>
      </c>
      <c r="C12" s="548" t="str">
        <f>IF(入力シート!D25="","",入力シート!D25)</f>
        <v/>
      </c>
      <c r="D12" s="549"/>
      <c r="E12" s="206" t="str">
        <f>IF(入力シート!E25="","",入力シート!E25)</f>
        <v/>
      </c>
      <c r="F12" s="206" t="str">
        <f>IF(入力シート!F25="","",入力シート!F25)</f>
        <v/>
      </c>
      <c r="G12" s="204" t="str">
        <f>IF(入力シート!G25="","",入力シート!G25)</f>
        <v/>
      </c>
      <c r="H12" s="34" t="str">
        <f>IF(入力シート!H25="","",入力シート!H25)</f>
        <v/>
      </c>
      <c r="I12" s="34" t="str">
        <f>IF(入力シート!I25="","",入力シート!I25)</f>
        <v/>
      </c>
      <c r="J12" s="203" t="str">
        <f t="shared" si="0"/>
        <v/>
      </c>
      <c r="K12" s="202" t="str">
        <f t="shared" si="1"/>
        <v/>
      </c>
      <c r="L12" s="238"/>
      <c r="N12" s="201" t="str">
        <f t="shared" si="2"/>
        <v/>
      </c>
    </row>
    <row r="13" spans="2:16" hidden="1" x14ac:dyDescent="0.15">
      <c r="B13" s="35" t="str">
        <f>IF(入力シート!C26="","",入力シート!C26)</f>
        <v/>
      </c>
      <c r="C13" s="548" t="str">
        <f>IF(入力シート!D26="","",入力シート!D26)</f>
        <v/>
      </c>
      <c r="D13" s="549"/>
      <c r="E13" s="206" t="str">
        <f>IF(入力シート!E26="","",入力シート!E26)</f>
        <v/>
      </c>
      <c r="F13" s="206" t="str">
        <f>IF(入力シート!F26="","",入力シート!F26)</f>
        <v/>
      </c>
      <c r="G13" s="204" t="str">
        <f>IF(入力シート!G26="","",入力シート!G26)</f>
        <v/>
      </c>
      <c r="H13" s="34" t="str">
        <f>IF(入力シート!H26="","",入力シート!H26)</f>
        <v/>
      </c>
      <c r="I13" s="34" t="str">
        <f>IF(入力シート!I26="","",入力シート!I26)</f>
        <v/>
      </c>
      <c r="J13" s="203" t="str">
        <f t="shared" si="0"/>
        <v/>
      </c>
      <c r="K13" s="202" t="str">
        <f t="shared" si="1"/>
        <v/>
      </c>
      <c r="L13" s="238"/>
      <c r="N13" s="201" t="str">
        <f t="shared" si="2"/>
        <v/>
      </c>
    </row>
    <row r="14" spans="2:16" hidden="1" x14ac:dyDescent="0.15">
      <c r="B14" s="35" t="str">
        <f>IF(入力シート!C27="","",入力シート!C27)</f>
        <v/>
      </c>
      <c r="C14" s="548" t="str">
        <f>IF(入力シート!D27="","",入力シート!D27)</f>
        <v/>
      </c>
      <c r="D14" s="549"/>
      <c r="E14" s="206" t="str">
        <f>IF(入力シート!E27="","",入力シート!E27)</f>
        <v/>
      </c>
      <c r="F14" s="206" t="str">
        <f>IF(入力シート!F27="","",入力シート!F27)</f>
        <v/>
      </c>
      <c r="G14" s="204" t="str">
        <f>IF(入力シート!G27="","",入力シート!G27)</f>
        <v/>
      </c>
      <c r="H14" s="34" t="str">
        <f>IF(入力シート!H27="","",入力シート!H27)</f>
        <v/>
      </c>
      <c r="I14" s="34" t="str">
        <f>IF(入力シート!I27="","",入力シート!I27)</f>
        <v/>
      </c>
      <c r="J14" s="203" t="str">
        <f t="shared" si="0"/>
        <v/>
      </c>
      <c r="K14" s="202" t="str">
        <f t="shared" si="1"/>
        <v/>
      </c>
      <c r="L14" s="238"/>
      <c r="N14" s="201" t="str">
        <f t="shared" si="2"/>
        <v/>
      </c>
    </row>
    <row r="15" spans="2:16" hidden="1" x14ac:dyDescent="0.15">
      <c r="B15" s="550" t="s">
        <v>52</v>
      </c>
      <c r="C15" s="550"/>
      <c r="D15" s="550"/>
      <c r="E15" s="200"/>
      <c r="F15" s="199"/>
      <c r="G15" s="199"/>
      <c r="H15" s="198"/>
      <c r="I15" s="197"/>
      <c r="J15" s="196">
        <f>+SUM(J5:J14)</f>
        <v>0</v>
      </c>
      <c r="K15" s="195">
        <f>+SUM(K5:K14)</f>
        <v>0</v>
      </c>
      <c r="L15" s="237"/>
    </row>
    <row r="16" spans="2:16" hidden="1" x14ac:dyDescent="0.15">
      <c r="J16" s="27" t="str">
        <f>"※排出係数＝"&amp;K1&amp;"㎏-CO2/kWh"</f>
        <v>※排出係数＝0.441㎏-CO2/kWh</v>
      </c>
    </row>
    <row r="17" spans="2:16" hidden="1" x14ac:dyDescent="0.15"/>
    <row r="18" spans="2:16" ht="18.75" hidden="1" x14ac:dyDescent="0.15">
      <c r="B18" s="212"/>
      <c r="K18" s="239">
        <f>K1</f>
        <v>0.441</v>
      </c>
      <c r="L18" s="28"/>
      <c r="N18" s="30"/>
      <c r="O18" s="31"/>
    </row>
    <row r="19" spans="2:16" x14ac:dyDescent="0.15">
      <c r="N19" s="32"/>
      <c r="O19" s="32"/>
    </row>
    <row r="20" spans="2:16" x14ac:dyDescent="0.15">
      <c r="C20" s="184" t="s">
        <v>39</v>
      </c>
      <c r="E20" s="551" t="s">
        <v>211</v>
      </c>
      <c r="F20" s="552"/>
      <c r="G20" s="552"/>
      <c r="H20" s="552"/>
      <c r="I20" s="552"/>
      <c r="J20" s="552"/>
      <c r="N20" s="32"/>
      <c r="O20" s="32"/>
    </row>
    <row r="21" spans="2:16" ht="40.5" x14ac:dyDescent="0.15">
      <c r="B21" s="211" t="s">
        <v>32</v>
      </c>
      <c r="C21" s="553" t="s">
        <v>42</v>
      </c>
      <c r="D21" s="554"/>
      <c r="E21" s="209" t="s">
        <v>43</v>
      </c>
      <c r="F21" s="209" t="s">
        <v>44</v>
      </c>
      <c r="G21" s="209" t="s">
        <v>45</v>
      </c>
      <c r="H21" s="209" t="s">
        <v>46</v>
      </c>
      <c r="I21" s="46" t="s">
        <v>47</v>
      </c>
      <c r="J21" s="46" t="s">
        <v>48</v>
      </c>
      <c r="K21" s="209" t="s">
        <v>49</v>
      </c>
      <c r="L21" s="236"/>
      <c r="N21" s="210" t="s">
        <v>50</v>
      </c>
      <c r="P21" s="209" t="s">
        <v>51</v>
      </c>
    </row>
    <row r="22" spans="2:16" x14ac:dyDescent="0.15">
      <c r="B22" s="34" t="str">
        <f>IF(入力シート!C46="","",入力シート!C46)</f>
        <v/>
      </c>
      <c r="C22" s="548" t="str">
        <f>IF(入力シート!D46="","",入力シート!D46)</f>
        <v/>
      </c>
      <c r="D22" s="549"/>
      <c r="E22" s="206" t="str">
        <f>IF(入力シート!E46="","",入力シート!E46)</f>
        <v/>
      </c>
      <c r="F22" s="206" t="str">
        <f>IF(入力シート!F46="","",入力シート!F46)</f>
        <v/>
      </c>
      <c r="G22" s="204" t="str">
        <f>IF(入力シート!G46="","",入力シート!G46)</f>
        <v/>
      </c>
      <c r="H22" s="34" t="str">
        <f>IF(入力シート!H46="","",入力シート!H46)</f>
        <v/>
      </c>
      <c r="I22" s="34" t="str">
        <f>IF(入力シート!I46="","",入力シート!I46)</f>
        <v/>
      </c>
      <c r="J22" s="203" t="str">
        <f t="shared" ref="J22:J31" si="4">IFERROR(IF(AND(I22&gt;0,I22&lt;=1),INT(N22*I22),INT(N22)),"")</f>
        <v/>
      </c>
      <c r="K22" s="195" t="str">
        <f t="shared" ref="K22:K31" si="5">IFERROR(ROUNDDOWN(J22*$K$18/1000,3),"")</f>
        <v/>
      </c>
      <c r="L22" s="237"/>
      <c r="N22" s="201" t="str">
        <f t="shared" ref="N22:N31" si="6">IFERROR(IF(H22="○",(0.0564*EXP(2.7518*F22/E22))*G22/F22,(0.4138*(F22/E22)+0.4307)*G22/F22),"")</f>
        <v/>
      </c>
      <c r="O22" s="207">
        <v>1</v>
      </c>
      <c r="P22" s="208">
        <f>SUMIF(B$22:B$31,O22,K$22:K$31)</f>
        <v>0</v>
      </c>
    </row>
    <row r="23" spans="2:16" x14ac:dyDescent="0.15">
      <c r="B23" s="34" t="str">
        <f>IF(入力シート!C47="","",入力シート!C47)</f>
        <v/>
      </c>
      <c r="C23" s="548" t="str">
        <f>IF(入力シート!D47="","",入力シート!D47)</f>
        <v/>
      </c>
      <c r="D23" s="549"/>
      <c r="E23" s="206" t="str">
        <f>IF(入力シート!E47="","",入力シート!E47)</f>
        <v/>
      </c>
      <c r="F23" s="206" t="str">
        <f>IF(入力シート!F47="","",入力シート!F47)</f>
        <v/>
      </c>
      <c r="G23" s="204" t="str">
        <f>IF(入力シート!G47="","",入力シート!G47)</f>
        <v/>
      </c>
      <c r="H23" s="34" t="str">
        <f>IF(入力シート!H47="","",入力シート!H47)</f>
        <v/>
      </c>
      <c r="I23" s="34" t="str">
        <f>IF(入力シート!I47="","",入力シート!I47)</f>
        <v/>
      </c>
      <c r="J23" s="203" t="str">
        <f t="shared" si="4"/>
        <v/>
      </c>
      <c r="K23" s="195" t="str">
        <f t="shared" si="5"/>
        <v/>
      </c>
      <c r="L23" s="237"/>
      <c r="N23" s="201" t="str">
        <f t="shared" si="6"/>
        <v/>
      </c>
      <c r="O23" s="207">
        <v>2</v>
      </c>
      <c r="P23" s="208">
        <f t="shared" ref="P23:P27" si="7">SUMIF(B$22:B$31,O23,K$22:K$31)</f>
        <v>0</v>
      </c>
    </row>
    <row r="24" spans="2:16" x14ac:dyDescent="0.15">
      <c r="B24" s="34" t="str">
        <f>IF(入力シート!C48="","",入力シート!C48)</f>
        <v/>
      </c>
      <c r="C24" s="548" t="str">
        <f>IF(入力シート!D48="","",入力シート!D48)</f>
        <v/>
      </c>
      <c r="D24" s="549"/>
      <c r="E24" s="206" t="str">
        <f>IF(入力シート!E48="","",入力シート!E48)</f>
        <v/>
      </c>
      <c r="F24" s="206" t="str">
        <f>IF(入力シート!F48="","",入力シート!F48)</f>
        <v/>
      </c>
      <c r="G24" s="204" t="str">
        <f>IF(入力シート!G48="","",入力シート!G48)</f>
        <v/>
      </c>
      <c r="H24" s="34" t="str">
        <f>IF(入力シート!H48="","",入力シート!H48)</f>
        <v/>
      </c>
      <c r="I24" s="34" t="str">
        <f>IF(入力シート!I48="","",入力シート!I48)</f>
        <v/>
      </c>
      <c r="J24" s="203" t="str">
        <f t="shared" si="4"/>
        <v/>
      </c>
      <c r="K24" s="195" t="str">
        <f t="shared" si="5"/>
        <v/>
      </c>
      <c r="L24" s="237"/>
      <c r="N24" s="201" t="str">
        <f t="shared" si="6"/>
        <v/>
      </c>
      <c r="O24" s="207">
        <v>3</v>
      </c>
      <c r="P24" s="208">
        <f t="shared" si="7"/>
        <v>0</v>
      </c>
    </row>
    <row r="25" spans="2:16" x14ac:dyDescent="0.15">
      <c r="B25" s="34" t="str">
        <f>IF(入力シート!C49="","",入力シート!C49)</f>
        <v/>
      </c>
      <c r="C25" s="548" t="str">
        <f>IF(入力シート!D49="","",入力シート!D49)</f>
        <v/>
      </c>
      <c r="D25" s="549"/>
      <c r="E25" s="206" t="str">
        <f>IF(入力シート!E49="","",入力シート!E49)</f>
        <v/>
      </c>
      <c r="F25" s="206" t="str">
        <f>IF(入力シート!F49="","",入力シート!F49)</f>
        <v/>
      </c>
      <c r="G25" s="204" t="str">
        <f>IF(入力シート!G49="","",入力シート!G49)</f>
        <v/>
      </c>
      <c r="H25" s="34" t="str">
        <f>IF(入力シート!H49="","",入力シート!H49)</f>
        <v/>
      </c>
      <c r="I25" s="34" t="str">
        <f>IF(入力シート!I49="","",入力シート!I49)</f>
        <v/>
      </c>
      <c r="J25" s="203" t="str">
        <f t="shared" si="4"/>
        <v/>
      </c>
      <c r="K25" s="195" t="str">
        <f t="shared" si="5"/>
        <v/>
      </c>
      <c r="L25" s="237"/>
      <c r="N25" s="201" t="str">
        <f t="shared" si="6"/>
        <v/>
      </c>
      <c r="O25" s="207">
        <v>4</v>
      </c>
      <c r="P25" s="208">
        <f t="shared" si="7"/>
        <v>0</v>
      </c>
    </row>
    <row r="26" spans="2:16" x14ac:dyDescent="0.15">
      <c r="B26" s="34" t="str">
        <f>IF(入力シート!C50="","",入力シート!C50)</f>
        <v/>
      </c>
      <c r="C26" s="548" t="str">
        <f>IF(入力シート!D50="","",入力シート!D50)</f>
        <v/>
      </c>
      <c r="D26" s="549"/>
      <c r="E26" s="206" t="str">
        <f>IF(入力シート!E50="","",入力シート!E50)</f>
        <v/>
      </c>
      <c r="F26" s="206" t="str">
        <f>IF(入力シート!F50="","",入力シート!F50)</f>
        <v/>
      </c>
      <c r="G26" s="204" t="str">
        <f>IF(入力シート!G50="","",入力シート!G50)</f>
        <v/>
      </c>
      <c r="H26" s="34" t="str">
        <f>IF(入力シート!H50="","",入力シート!H50)</f>
        <v/>
      </c>
      <c r="I26" s="34" t="str">
        <f>IF(入力シート!I50="","",入力シート!I50)</f>
        <v/>
      </c>
      <c r="J26" s="203" t="str">
        <f t="shared" si="4"/>
        <v/>
      </c>
      <c r="K26" s="195" t="str">
        <f t="shared" si="5"/>
        <v/>
      </c>
      <c r="L26" s="237"/>
      <c r="N26" s="201" t="str">
        <f t="shared" si="6"/>
        <v/>
      </c>
      <c r="O26" s="207">
        <v>5</v>
      </c>
      <c r="P26" s="208">
        <f t="shared" si="7"/>
        <v>0</v>
      </c>
    </row>
    <row r="27" spans="2:16" x14ac:dyDescent="0.15">
      <c r="B27" s="34" t="str">
        <f>IF(入力シート!C51="","",入力シート!C51)</f>
        <v/>
      </c>
      <c r="C27" s="548" t="str">
        <f>IF(入力シート!D51="","",入力シート!D51)</f>
        <v/>
      </c>
      <c r="D27" s="549"/>
      <c r="E27" s="206" t="str">
        <f>IF(入力シート!E51="","",入力シート!E51)</f>
        <v/>
      </c>
      <c r="F27" s="206" t="str">
        <f>IF(入力シート!F51="","",入力シート!F51)</f>
        <v/>
      </c>
      <c r="G27" s="204" t="str">
        <f>IF(入力シート!G51="","",入力シート!G51)</f>
        <v/>
      </c>
      <c r="H27" s="34" t="str">
        <f>IF(入力シート!H51="","",入力シート!H51)</f>
        <v/>
      </c>
      <c r="I27" s="34" t="str">
        <f>IF(入力シート!I51="","",入力シート!I51)</f>
        <v/>
      </c>
      <c r="J27" s="203" t="str">
        <f t="shared" si="4"/>
        <v/>
      </c>
      <c r="K27" s="195" t="str">
        <f t="shared" si="5"/>
        <v/>
      </c>
      <c r="L27" s="237"/>
      <c r="N27" s="201" t="str">
        <f t="shared" si="6"/>
        <v/>
      </c>
      <c r="O27" s="207">
        <v>6</v>
      </c>
      <c r="P27" s="208">
        <f t="shared" si="7"/>
        <v>0</v>
      </c>
    </row>
    <row r="28" spans="2:16" x14ac:dyDescent="0.15">
      <c r="B28" s="34" t="str">
        <f>IF(入力シート!C52="","",入力シート!C52)</f>
        <v/>
      </c>
      <c r="C28" s="548" t="str">
        <f>IF(入力シート!D52="","",入力シート!D52)</f>
        <v/>
      </c>
      <c r="D28" s="549"/>
      <c r="E28" s="206" t="str">
        <f>IF(入力シート!E52="","",入力シート!E52)</f>
        <v/>
      </c>
      <c r="F28" s="206" t="str">
        <f>IF(入力シート!F52="","",入力シート!F52)</f>
        <v/>
      </c>
      <c r="G28" s="204" t="str">
        <f>IF(入力シート!G52="","",入力シート!G52)</f>
        <v/>
      </c>
      <c r="H28" s="34" t="str">
        <f>IF(入力シート!H52="","",入力シート!H52)</f>
        <v/>
      </c>
      <c r="I28" s="34" t="str">
        <f>IF(入力シート!I52="","",入力シート!I52)</f>
        <v/>
      </c>
      <c r="J28" s="203" t="str">
        <f t="shared" si="4"/>
        <v/>
      </c>
      <c r="K28" s="202" t="str">
        <f t="shared" si="5"/>
        <v/>
      </c>
      <c r="L28" s="238"/>
      <c r="N28" s="201" t="str">
        <f t="shared" si="6"/>
        <v/>
      </c>
    </row>
    <row r="29" spans="2:16" x14ac:dyDescent="0.15">
      <c r="B29" s="34" t="str">
        <f>IF(入力シート!C53="","",入力シート!C53)</f>
        <v/>
      </c>
      <c r="C29" s="548" t="str">
        <f>IF(入力シート!D53="","",入力シート!D53)</f>
        <v/>
      </c>
      <c r="D29" s="549"/>
      <c r="E29" s="206" t="str">
        <f>IF(入力シート!E53="","",入力シート!E53)</f>
        <v/>
      </c>
      <c r="F29" s="206" t="str">
        <f>IF(入力シート!F53="","",入力シート!F53)</f>
        <v/>
      </c>
      <c r="G29" s="204" t="str">
        <f>IF(入力シート!G53="","",入力シート!G53)</f>
        <v/>
      </c>
      <c r="H29" s="34" t="str">
        <f>IF(入力シート!H53="","",入力シート!H53)</f>
        <v/>
      </c>
      <c r="I29" s="34" t="str">
        <f>IF(入力シート!I53="","",入力シート!I53)</f>
        <v/>
      </c>
      <c r="J29" s="203" t="str">
        <f t="shared" si="4"/>
        <v/>
      </c>
      <c r="K29" s="202" t="str">
        <f t="shared" si="5"/>
        <v/>
      </c>
      <c r="L29" s="238"/>
      <c r="N29" s="201" t="str">
        <f t="shared" si="6"/>
        <v/>
      </c>
    </row>
    <row r="30" spans="2:16" x14ac:dyDescent="0.15">
      <c r="B30" s="34" t="str">
        <f>IF(入力シート!C54="","",入力シート!C54)</f>
        <v/>
      </c>
      <c r="C30" s="548" t="str">
        <f>IF(入力シート!D54="","",入力シート!D54)</f>
        <v/>
      </c>
      <c r="D30" s="549"/>
      <c r="E30" s="206" t="str">
        <f>IF(入力シート!E54="","",入力シート!E54)</f>
        <v/>
      </c>
      <c r="F30" s="206" t="str">
        <f>IF(入力シート!F54="","",入力シート!F54)</f>
        <v/>
      </c>
      <c r="G30" s="204" t="str">
        <f>IF(入力シート!G54="","",入力シート!G54)</f>
        <v/>
      </c>
      <c r="H30" s="34" t="str">
        <f>IF(入力シート!H54="","",入力シート!H54)</f>
        <v/>
      </c>
      <c r="I30" s="34" t="str">
        <f>IF(入力シート!I54="","",入力シート!I54)</f>
        <v/>
      </c>
      <c r="J30" s="203" t="str">
        <f t="shared" si="4"/>
        <v/>
      </c>
      <c r="K30" s="202" t="str">
        <f t="shared" si="5"/>
        <v/>
      </c>
      <c r="L30" s="238"/>
      <c r="N30" s="201" t="str">
        <f t="shared" si="6"/>
        <v/>
      </c>
    </row>
    <row r="31" spans="2:16" x14ac:dyDescent="0.15">
      <c r="B31" s="34" t="str">
        <f>IF(入力シート!C55="","",入力シート!C55)</f>
        <v/>
      </c>
      <c r="C31" s="548" t="str">
        <f>IF(入力シート!D55="","",入力シート!D55)</f>
        <v/>
      </c>
      <c r="D31" s="549"/>
      <c r="E31" s="206" t="str">
        <f>IF(入力シート!E55="","",入力シート!E55)</f>
        <v/>
      </c>
      <c r="F31" s="206" t="str">
        <f>IF(入力シート!F55="","",入力シート!F55)</f>
        <v/>
      </c>
      <c r="G31" s="204" t="str">
        <f>IF(入力シート!G55="","",入力シート!G55)</f>
        <v/>
      </c>
      <c r="H31" s="34" t="str">
        <f>IF(入力シート!H55="","",入力シート!H55)</f>
        <v/>
      </c>
      <c r="I31" s="34" t="str">
        <f>IF(入力シート!I55="","",入力シート!I55)</f>
        <v/>
      </c>
      <c r="J31" s="203" t="str">
        <f t="shared" si="4"/>
        <v/>
      </c>
      <c r="K31" s="202" t="str">
        <f t="shared" si="5"/>
        <v/>
      </c>
      <c r="L31" s="238"/>
      <c r="N31" s="201" t="str">
        <f t="shared" si="6"/>
        <v/>
      </c>
    </row>
    <row r="32" spans="2:16" x14ac:dyDescent="0.15">
      <c r="B32" s="550" t="s">
        <v>52</v>
      </c>
      <c r="C32" s="550"/>
      <c r="D32" s="550"/>
      <c r="E32" s="200"/>
      <c r="F32" s="199"/>
      <c r="G32" s="199"/>
      <c r="H32" s="198"/>
      <c r="I32" s="197"/>
      <c r="J32" s="196">
        <f>+SUM(J22:J31)</f>
        <v>0</v>
      </c>
      <c r="K32" s="195">
        <f>+SUM(K22:K31)</f>
        <v>0</v>
      </c>
      <c r="L32" s="237"/>
    </row>
    <row r="33" spans="2:9" x14ac:dyDescent="0.15">
      <c r="I33" s="27" t="str">
        <f>"※排出係数＝"&amp;K18&amp;"㎏-CO2/kWh"</f>
        <v>※排出係数＝0.441㎏-CO2/kWh</v>
      </c>
    </row>
    <row r="35" spans="2:9" hidden="1" x14ac:dyDescent="0.15">
      <c r="C35" s="184" t="s">
        <v>25</v>
      </c>
    </row>
    <row r="36" spans="2:9" hidden="1" x14ac:dyDescent="0.15">
      <c r="B36" s="189"/>
      <c r="C36" s="189"/>
      <c r="D36" s="189" t="s">
        <v>53</v>
      </c>
      <c r="E36" s="192" t="s">
        <v>54</v>
      </c>
      <c r="F36" s="191" t="s">
        <v>55</v>
      </c>
      <c r="G36" s="190" t="s">
        <v>229</v>
      </c>
      <c r="H36" s="189"/>
    </row>
    <row r="37" spans="2:9" hidden="1" x14ac:dyDescent="0.15">
      <c r="B37" s="27" t="str">
        <f>IF(入力シート!C7="","",入力シート!C7)</f>
        <v/>
      </c>
      <c r="C37" s="27" t="str">
        <f>IF(入力シート!D7="","",入力シート!D7)</f>
        <v/>
      </c>
      <c r="E37" s="235" t="str">
        <f>IF(入力シート!G7="","",入力シート!G7)</f>
        <v/>
      </c>
      <c r="F37" s="188" t="str">
        <f>IF(B5="","",VLOOKUP(B5,$O$5:$P$10,2))</f>
        <v/>
      </c>
      <c r="G37" s="187" t="str">
        <f>IFERROR(E37*F37,"")</f>
        <v/>
      </c>
    </row>
    <row r="38" spans="2:9" hidden="1" x14ac:dyDescent="0.15">
      <c r="B38" s="27" t="str">
        <f>IF(入力シート!C8="","",入力シート!C8)</f>
        <v/>
      </c>
      <c r="C38" s="27" t="str">
        <f>IF(入力シート!D8="","",入力シート!D8)</f>
        <v/>
      </c>
      <c r="E38" s="235" t="str">
        <f>IF(入力シート!G8="","",入力シート!G8)</f>
        <v/>
      </c>
      <c r="F38" s="188" t="str">
        <f t="shared" ref="F38:F42" si="8">IF(B6="","",VLOOKUP(B6,$O$5:$P$10,2))</f>
        <v/>
      </c>
      <c r="G38" s="187" t="str">
        <f>IFERROR(E38*F38,"")</f>
        <v/>
      </c>
    </row>
    <row r="39" spans="2:9" hidden="1" x14ac:dyDescent="0.15">
      <c r="B39" s="27" t="str">
        <f>IF(入力シート!C9="","",入力シート!C9)</f>
        <v/>
      </c>
      <c r="C39" s="27" t="str">
        <f>IF(入力シート!D9="","",入力シート!D9)</f>
        <v/>
      </c>
      <c r="E39" s="235" t="str">
        <f>IF(入力シート!G9="","",入力シート!G9)</f>
        <v/>
      </c>
      <c r="F39" s="188" t="str">
        <f t="shared" si="8"/>
        <v/>
      </c>
      <c r="G39" s="187" t="str">
        <f>IFERROR(E39*F39,"")</f>
        <v/>
      </c>
    </row>
    <row r="40" spans="2:9" hidden="1" x14ac:dyDescent="0.15">
      <c r="B40" s="27" t="str">
        <f>IF(入力シート!C10="","",入力シート!C10)</f>
        <v/>
      </c>
      <c r="C40" s="27" t="str">
        <f>IF(入力シート!D10="","",入力シート!D10)</f>
        <v/>
      </c>
      <c r="E40" s="235" t="str">
        <f>IF(入力シート!G10="","",入力シート!G10)</f>
        <v/>
      </c>
      <c r="F40" s="188" t="str">
        <f t="shared" si="8"/>
        <v/>
      </c>
      <c r="G40" s="187" t="str">
        <f>IFERROR(E40*F40,"")</f>
        <v/>
      </c>
    </row>
    <row r="41" spans="2:9" hidden="1" x14ac:dyDescent="0.15">
      <c r="B41" s="27" t="str">
        <f>IF(入力シート!C11="","",入力シート!C11)</f>
        <v/>
      </c>
      <c r="C41" s="27" t="str">
        <f>IF(入力シート!D11="","",入力シート!D11)</f>
        <v/>
      </c>
      <c r="E41" s="235" t="str">
        <f>IF(入力シート!G11="","",入力シート!G11)</f>
        <v/>
      </c>
      <c r="F41" s="188" t="str">
        <f t="shared" si="8"/>
        <v/>
      </c>
      <c r="G41" s="187" t="str">
        <f t="shared" ref="G41:G42" si="9">IFERROR(E41*F41,"")</f>
        <v/>
      </c>
    </row>
    <row r="42" spans="2:9" ht="14.25" hidden="1" thickBot="1" x14ac:dyDescent="0.2">
      <c r="B42" s="27" t="str">
        <f>IF(入力シート!C12="","",入力シート!C12)</f>
        <v/>
      </c>
      <c r="C42" s="27" t="str">
        <f>IF(入力シート!D12="","",入力シート!D12)</f>
        <v/>
      </c>
      <c r="E42" s="235" t="str">
        <f>IF(入力シート!G12="","",入力シート!G12)</f>
        <v/>
      </c>
      <c r="F42" s="188" t="str">
        <f t="shared" si="8"/>
        <v/>
      </c>
      <c r="G42" s="187" t="str">
        <f t="shared" si="9"/>
        <v/>
      </c>
    </row>
    <row r="43" spans="2:9" ht="14.25" hidden="1" thickBot="1" x14ac:dyDescent="0.2">
      <c r="E43" s="194"/>
      <c r="F43" s="266" t="s">
        <v>230</v>
      </c>
      <c r="G43" s="185">
        <f>SUM(G37:G40)</f>
        <v>0</v>
      </c>
    </row>
    <row r="44" spans="2:9" x14ac:dyDescent="0.15">
      <c r="C44" s="184" t="s">
        <v>56</v>
      </c>
      <c r="E44" s="186"/>
      <c r="F44" s="188"/>
    </row>
    <row r="45" spans="2:9" x14ac:dyDescent="0.15">
      <c r="B45" s="189"/>
      <c r="C45" s="189"/>
      <c r="D45" s="193" t="s">
        <v>57</v>
      </c>
      <c r="E45" s="192" t="s">
        <v>54</v>
      </c>
      <c r="F45" s="191" t="s">
        <v>55</v>
      </c>
      <c r="G45" s="190" t="s">
        <v>229</v>
      </c>
      <c r="H45" s="189"/>
    </row>
    <row r="46" spans="2:9" x14ac:dyDescent="0.15">
      <c r="B46" s="31" t="str">
        <f>IF(入力シート!C35="","",入力シート!C35)</f>
        <v/>
      </c>
      <c r="C46" s="27" t="str">
        <f>IF(入力シート!D35="","",入力シート!D35)</f>
        <v/>
      </c>
      <c r="E46" s="235" t="str">
        <f>IF(入力シート!G35="","",入力シート!G35)</f>
        <v/>
      </c>
      <c r="F46" s="188" t="str">
        <f t="shared" ref="F46:F49" si="10">IF(B46="","",VLOOKUP(B46,$O$22:$P$27,2))</f>
        <v/>
      </c>
      <c r="G46" s="187" t="str">
        <f>IFERROR(E46*F46,"")</f>
        <v/>
      </c>
    </row>
    <row r="47" spans="2:9" x14ac:dyDescent="0.15">
      <c r="B47" s="31" t="str">
        <f>IF(入力シート!C36="","",入力シート!C36)</f>
        <v/>
      </c>
      <c r="C47" s="27" t="str">
        <f>IF(入力シート!D36="","",入力シート!D36)</f>
        <v/>
      </c>
      <c r="E47" s="235" t="str">
        <f>IF(入力シート!G36="","",入力シート!G36)</f>
        <v/>
      </c>
      <c r="F47" s="188" t="str">
        <f t="shared" si="10"/>
        <v/>
      </c>
      <c r="G47" s="187" t="str">
        <f>IFERROR(E47*F47,"")</f>
        <v/>
      </c>
    </row>
    <row r="48" spans="2:9" x14ac:dyDescent="0.15">
      <c r="B48" s="31" t="str">
        <f>IF(入力シート!C37="","",入力シート!C37)</f>
        <v/>
      </c>
      <c r="C48" s="27" t="str">
        <f>IF(入力シート!D37="","",入力シート!D37)</f>
        <v/>
      </c>
      <c r="E48" s="235" t="str">
        <f>IF(入力シート!G37="","",入力シート!G37)</f>
        <v/>
      </c>
      <c r="F48" s="188" t="str">
        <f t="shared" si="10"/>
        <v/>
      </c>
      <c r="G48" s="187" t="str">
        <f>IFERROR(E48*F48,"")</f>
        <v/>
      </c>
    </row>
    <row r="49" spans="2:12" x14ac:dyDescent="0.15">
      <c r="B49" s="31" t="str">
        <f>IF(入力シート!C38="","",入力シート!C38)</f>
        <v/>
      </c>
      <c r="C49" s="27" t="str">
        <f>IF(入力シート!D38="","",入力シート!D38)</f>
        <v/>
      </c>
      <c r="E49" s="235" t="str">
        <f>IF(入力シート!G38="","",入力シート!G38)</f>
        <v/>
      </c>
      <c r="F49" s="188" t="str">
        <f t="shared" si="10"/>
        <v/>
      </c>
      <c r="G49" s="187" t="str">
        <f>IFERROR(E49*F49,"")</f>
        <v/>
      </c>
    </row>
    <row r="50" spans="2:12" x14ac:dyDescent="0.15">
      <c r="B50" s="31" t="str">
        <f>IF(入力シート!C39="","",入力シート!C39)</f>
        <v/>
      </c>
      <c r="C50" s="27" t="str">
        <f>IF(入力シート!D39="","",入力シート!D39)</f>
        <v/>
      </c>
      <c r="E50" s="235" t="str">
        <f>IF(入力シート!G39="","",入力シート!G39)</f>
        <v/>
      </c>
      <c r="F50" s="188" t="str">
        <f>IF(B50="","",VLOOKUP(B50,$O$22:$P$27,2))</f>
        <v/>
      </c>
      <c r="G50" s="187" t="str">
        <f t="shared" ref="G50:G51" si="11">IFERROR(E50*F50,"")</f>
        <v/>
      </c>
    </row>
    <row r="51" spans="2:12" ht="14.25" thickBot="1" x14ac:dyDescent="0.2">
      <c r="B51" s="27" t="str">
        <f>IF(入力シート!C40="","",入力シート!C40)</f>
        <v/>
      </c>
      <c r="C51" s="27" t="str">
        <f>IF(入力シート!D40="","",入力シート!D40)</f>
        <v/>
      </c>
      <c r="E51" s="235" t="str">
        <f>IF(入力シート!G40="","",入力シート!G40)</f>
        <v/>
      </c>
      <c r="F51" s="188" t="str">
        <f t="shared" ref="F51" si="12">IF(B51="","",VLOOKUP(B51,$O$22:$P$27,2))</f>
        <v/>
      </c>
      <c r="G51" s="187" t="str">
        <f t="shared" si="11"/>
        <v/>
      </c>
    </row>
    <row r="52" spans="2:12" ht="14.25" thickBot="1" x14ac:dyDescent="0.2">
      <c r="F52" s="266" t="s">
        <v>230</v>
      </c>
      <c r="G52" s="185">
        <f>SUM(G46:G51)</f>
        <v>0</v>
      </c>
      <c r="K52" s="28"/>
      <c r="L52" s="28"/>
    </row>
  </sheetData>
  <sheetProtection algorithmName="SHA-512" hashValue="if2YQgw3KiLy8HSUr597LJeO4V5bBLDfZOcBr8XO6foiHqTaMtwDIXMprSigyIHlzoiYuz4HSmWnwyzzOee8wQ==" saltValue="h5BeWPwF/6nbembeE3lPvQ=="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79" fitToHeight="0" orientation="portrait" r:id="rId1"/>
  <headerFooter>
    <oddFooter>&amp;R&amp;14R５（補正）太陽光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6A6D-DEF4-46FD-B465-C868F110DAF7}">
  <sheetPr>
    <pageSetUpPr fitToPage="1"/>
  </sheetPr>
  <dimension ref="A1:P26"/>
  <sheetViews>
    <sheetView workbookViewId="0">
      <selection activeCell="B1" sqref="B1"/>
    </sheetView>
  </sheetViews>
  <sheetFormatPr defaultRowHeight="13.5" x14ac:dyDescent="0.15"/>
  <cols>
    <col min="1" max="2" width="0.875" style="241" customWidth="1"/>
    <col min="3" max="3" width="4.625" style="241" customWidth="1"/>
    <col min="4" max="4" width="17.25" style="241" customWidth="1"/>
    <col min="5" max="5" width="19.25" style="241" customWidth="1"/>
    <col min="6" max="6" width="5.25" style="241" customWidth="1"/>
    <col min="7" max="7" width="7.25" style="241" customWidth="1"/>
    <col min="8" max="8" width="5.25" style="241" customWidth="1"/>
    <col min="9" max="10" width="18.25" style="241" customWidth="1"/>
    <col min="11" max="12" width="10.625" style="241" customWidth="1"/>
    <col min="13" max="13" width="10.375" style="241" customWidth="1"/>
    <col min="14" max="14" width="10.25" style="241" customWidth="1"/>
  </cols>
  <sheetData>
    <row r="1" spans="1:16" s="260" customFormat="1" ht="15.75" customHeight="1" x14ac:dyDescent="0.15">
      <c r="A1" s="241"/>
      <c r="B1" s="241"/>
      <c r="C1" s="265" t="s">
        <v>228</v>
      </c>
      <c r="D1" s="265"/>
      <c r="E1" s="265"/>
      <c r="F1" s="265"/>
      <c r="G1" s="265"/>
      <c r="H1" s="265"/>
      <c r="I1" s="265"/>
      <c r="J1" s="265"/>
      <c r="K1" s="265"/>
      <c r="L1" s="265"/>
      <c r="M1" s="265"/>
      <c r="N1" s="265"/>
      <c r="P1" s="264" t="s">
        <v>227</v>
      </c>
    </row>
    <row r="2" spans="1:16" s="260" customFormat="1" ht="21.95" customHeight="1" thickBot="1" x14ac:dyDescent="0.2">
      <c r="A2" s="241"/>
      <c r="B2" s="241"/>
      <c r="C2" s="241"/>
      <c r="D2" s="241"/>
      <c r="E2" s="241"/>
      <c r="F2" s="241"/>
      <c r="G2" s="241"/>
      <c r="H2" s="241"/>
      <c r="I2" s="241"/>
      <c r="J2" s="241"/>
      <c r="K2" s="241"/>
      <c r="L2" s="241"/>
      <c r="M2" s="241"/>
      <c r="N2" s="241"/>
      <c r="P2" s="264"/>
    </row>
    <row r="3" spans="1:16" s="260" customFormat="1" ht="21.95" customHeight="1" x14ac:dyDescent="0.15">
      <c r="C3" s="559"/>
      <c r="D3" s="561" t="s">
        <v>42</v>
      </c>
      <c r="E3" s="563" t="s">
        <v>226</v>
      </c>
      <c r="F3" s="555" t="s">
        <v>225</v>
      </c>
      <c r="G3" s="555" t="s">
        <v>224</v>
      </c>
      <c r="H3" s="555" t="s">
        <v>223</v>
      </c>
      <c r="I3" s="563" t="s">
        <v>222</v>
      </c>
      <c r="J3" s="565"/>
      <c r="K3" s="565"/>
      <c r="L3" s="561"/>
      <c r="M3" s="555" t="s">
        <v>221</v>
      </c>
      <c r="N3" s="557" t="s">
        <v>220</v>
      </c>
    </row>
    <row r="4" spans="1:16" s="241" customFormat="1" ht="21.95" customHeight="1" x14ac:dyDescent="0.15">
      <c r="A4" s="260"/>
      <c r="B4" s="260"/>
      <c r="C4" s="560"/>
      <c r="D4" s="562"/>
      <c r="E4" s="564"/>
      <c r="F4" s="556"/>
      <c r="G4" s="556"/>
      <c r="H4" s="556"/>
      <c r="I4" s="263" t="s">
        <v>219</v>
      </c>
      <c r="J4" s="263" t="s">
        <v>218</v>
      </c>
      <c r="K4" s="263" t="s">
        <v>217</v>
      </c>
      <c r="L4" s="263" t="s">
        <v>216</v>
      </c>
      <c r="M4" s="556"/>
      <c r="N4" s="558"/>
    </row>
    <row r="5" spans="1:16" s="241" customFormat="1" ht="21.95" customHeight="1" x14ac:dyDescent="0.15">
      <c r="A5" s="260"/>
      <c r="B5" s="260"/>
      <c r="C5" s="253"/>
      <c r="D5" s="262"/>
      <c r="E5" s="262"/>
      <c r="F5" s="248"/>
      <c r="G5" s="248"/>
      <c r="H5" s="248"/>
      <c r="I5" s="248"/>
      <c r="J5" s="248"/>
      <c r="K5" s="257"/>
      <c r="L5" s="248"/>
      <c r="M5" s="248"/>
      <c r="N5" s="261"/>
    </row>
    <row r="6" spans="1:16" s="260" customFormat="1" ht="21.95" customHeight="1" x14ac:dyDescent="0.15">
      <c r="C6" s="254"/>
      <c r="D6" s="259"/>
      <c r="E6" s="259"/>
      <c r="F6" s="248"/>
      <c r="G6" s="248"/>
      <c r="H6" s="248"/>
      <c r="I6" s="248"/>
      <c r="J6" s="248"/>
      <c r="K6" s="257"/>
      <c r="L6" s="248"/>
      <c r="M6" s="248"/>
      <c r="N6" s="258"/>
    </row>
    <row r="7" spans="1:16" s="241" customFormat="1" ht="21.95" customHeight="1" x14ac:dyDescent="0.15">
      <c r="C7" s="253"/>
      <c r="D7" s="259"/>
      <c r="E7" s="259"/>
      <c r="F7" s="248"/>
      <c r="G7" s="248"/>
      <c r="H7" s="248"/>
      <c r="I7" s="248"/>
      <c r="J7" s="248"/>
      <c r="K7" s="257"/>
      <c r="L7" s="248"/>
      <c r="M7" s="248"/>
      <c r="N7" s="258"/>
    </row>
    <row r="8" spans="1:16" s="241" customFormat="1" ht="21.95" customHeight="1" x14ac:dyDescent="0.15">
      <c r="C8" s="254"/>
      <c r="D8" s="259"/>
      <c r="E8" s="259"/>
      <c r="F8" s="248"/>
      <c r="G8" s="248"/>
      <c r="H8" s="248"/>
      <c r="I8" s="248"/>
      <c r="J8" s="248"/>
      <c r="K8" s="257"/>
      <c r="L8" s="248"/>
      <c r="M8" s="248"/>
      <c r="N8" s="258"/>
    </row>
    <row r="9" spans="1:16" s="241" customFormat="1" ht="21.95" customHeight="1" x14ac:dyDescent="0.15">
      <c r="A9" s="260"/>
      <c r="B9" s="260"/>
      <c r="C9" s="253"/>
      <c r="D9" s="259"/>
      <c r="E9" s="259"/>
      <c r="F9" s="248"/>
      <c r="G9" s="248"/>
      <c r="H9" s="248"/>
      <c r="I9" s="248"/>
      <c r="J9" s="248"/>
      <c r="K9" s="257"/>
      <c r="L9" s="248"/>
      <c r="M9" s="248"/>
      <c r="N9" s="258"/>
    </row>
    <row r="10" spans="1:16" s="241" customFormat="1" ht="21.95" customHeight="1" x14ac:dyDescent="0.15">
      <c r="C10" s="254"/>
      <c r="D10" s="247"/>
      <c r="E10" s="247"/>
      <c r="F10" s="248"/>
      <c r="G10" s="248"/>
      <c r="H10" s="248"/>
      <c r="I10" s="251"/>
      <c r="J10" s="248"/>
      <c r="K10" s="257"/>
      <c r="L10" s="248"/>
      <c r="M10" s="248"/>
      <c r="N10" s="250"/>
    </row>
    <row r="11" spans="1:16" s="241" customFormat="1" ht="21.95" customHeight="1" x14ac:dyDescent="0.15">
      <c r="C11" s="253"/>
      <c r="D11" s="247"/>
      <c r="E11" s="247"/>
      <c r="F11" s="248"/>
      <c r="G11" s="248"/>
      <c r="H11" s="248"/>
      <c r="I11" s="251"/>
      <c r="J11" s="248"/>
      <c r="K11" s="257"/>
      <c r="L11" s="248"/>
      <c r="M11" s="248"/>
      <c r="N11" s="250"/>
    </row>
    <row r="12" spans="1:16" s="241" customFormat="1" ht="21.95" customHeight="1" x14ac:dyDescent="0.15">
      <c r="C12" s="254"/>
      <c r="D12" s="247"/>
      <c r="E12" s="247"/>
      <c r="F12" s="248"/>
      <c r="G12" s="248"/>
      <c r="H12" s="248"/>
      <c r="I12" s="251"/>
      <c r="J12" s="248"/>
      <c r="K12" s="252"/>
      <c r="L12" s="248"/>
      <c r="M12" s="248"/>
      <c r="N12" s="250"/>
    </row>
    <row r="13" spans="1:16" s="241" customFormat="1" ht="21.95" customHeight="1" x14ac:dyDescent="0.15">
      <c r="C13" s="253"/>
      <c r="D13" s="247"/>
      <c r="E13" s="247"/>
      <c r="F13" s="248"/>
      <c r="G13" s="248"/>
      <c r="H13" s="248"/>
      <c r="I13" s="248"/>
      <c r="J13" s="248"/>
      <c r="K13" s="257"/>
      <c r="L13" s="248"/>
      <c r="M13" s="248"/>
      <c r="N13" s="250"/>
    </row>
    <row r="14" spans="1:16" s="241" customFormat="1" ht="21.95" customHeight="1" x14ac:dyDescent="0.15">
      <c r="C14" s="254"/>
      <c r="D14" s="247"/>
      <c r="E14" s="247"/>
      <c r="F14" s="248"/>
      <c r="G14" s="248"/>
      <c r="H14" s="248"/>
      <c r="I14" s="251"/>
      <c r="J14" s="248"/>
      <c r="K14" s="252"/>
      <c r="L14" s="248"/>
      <c r="M14" s="248"/>
      <c r="N14" s="250"/>
    </row>
    <row r="15" spans="1:16" s="241" customFormat="1" ht="21.95" customHeight="1" x14ac:dyDescent="0.15">
      <c r="C15" s="253"/>
      <c r="D15" s="247"/>
      <c r="E15" s="247"/>
      <c r="F15" s="248"/>
      <c r="G15" s="248"/>
      <c r="H15" s="248"/>
      <c r="I15" s="251"/>
      <c r="J15" s="248"/>
      <c r="K15" s="252"/>
      <c r="L15" s="247"/>
      <c r="M15" s="247"/>
      <c r="N15" s="250"/>
    </row>
    <row r="16" spans="1:16" s="241" customFormat="1" ht="21.95" customHeight="1" x14ac:dyDescent="0.15">
      <c r="C16" s="293"/>
      <c r="D16" s="294"/>
      <c r="E16" s="294"/>
      <c r="F16" s="256"/>
      <c r="G16" s="256"/>
      <c r="H16" s="256"/>
      <c r="I16" s="295"/>
      <c r="J16" s="256"/>
      <c r="K16" s="296"/>
      <c r="L16" s="256"/>
      <c r="M16" s="256"/>
      <c r="N16" s="255"/>
    </row>
    <row r="17" spans="3:14" s="241" customFormat="1" ht="21.95" customHeight="1" x14ac:dyDescent="0.15">
      <c r="C17" s="254"/>
      <c r="D17" s="247"/>
      <c r="E17" s="247"/>
      <c r="F17" s="248"/>
      <c r="G17" s="248"/>
      <c r="H17" s="248"/>
      <c r="I17" s="251"/>
      <c r="J17" s="251"/>
      <c r="K17" s="252"/>
      <c r="L17" s="248"/>
      <c r="M17" s="248"/>
      <c r="N17" s="250"/>
    </row>
    <row r="18" spans="3:14" s="241" customFormat="1" ht="21.95" customHeight="1" x14ac:dyDescent="0.15">
      <c r="C18" s="253"/>
      <c r="D18" s="247"/>
      <c r="E18" s="247"/>
      <c r="F18" s="248"/>
      <c r="G18" s="248"/>
      <c r="H18" s="248"/>
      <c r="I18" s="251"/>
      <c r="J18" s="251"/>
      <c r="K18" s="252"/>
      <c r="L18" s="251"/>
      <c r="M18" s="247"/>
      <c r="N18" s="250"/>
    </row>
    <row r="19" spans="3:14" s="241" customFormat="1" ht="21.95" customHeight="1" x14ac:dyDescent="0.15">
      <c r="C19" s="249"/>
      <c r="D19" s="247"/>
      <c r="E19" s="247"/>
      <c r="F19" s="247"/>
      <c r="G19" s="248"/>
      <c r="H19" s="248"/>
      <c r="I19" s="247"/>
      <c r="J19" s="247"/>
      <c r="K19" s="247"/>
      <c r="L19" s="247"/>
      <c r="M19" s="247"/>
      <c r="N19" s="250"/>
    </row>
    <row r="20" spans="3:14" s="241" customFormat="1" ht="21.95" customHeight="1" x14ac:dyDescent="0.15">
      <c r="C20" s="249"/>
      <c r="D20" s="247"/>
      <c r="E20" s="247"/>
      <c r="F20" s="247"/>
      <c r="G20" s="248"/>
      <c r="H20" s="248"/>
      <c r="I20" s="247"/>
      <c r="J20" s="247"/>
      <c r="K20" s="247"/>
      <c r="L20" s="247"/>
      <c r="M20" s="247"/>
      <c r="N20" s="250"/>
    </row>
    <row r="21" spans="3:14" s="241" customFormat="1" ht="21.95" customHeight="1" x14ac:dyDescent="0.15">
      <c r="C21" s="249"/>
      <c r="D21" s="247"/>
      <c r="E21" s="247"/>
      <c r="F21" s="247"/>
      <c r="G21" s="248"/>
      <c r="H21" s="248"/>
      <c r="I21" s="247"/>
      <c r="J21" s="247"/>
      <c r="K21" s="247"/>
      <c r="L21" s="247"/>
      <c r="M21" s="247"/>
      <c r="N21" s="250"/>
    </row>
    <row r="22" spans="3:14" s="241" customFormat="1" ht="21.95" customHeight="1" x14ac:dyDescent="0.15">
      <c r="C22" s="249"/>
      <c r="D22" s="247"/>
      <c r="E22" s="247"/>
      <c r="F22" s="247"/>
      <c r="G22" s="248"/>
      <c r="H22" s="248"/>
      <c r="I22" s="247"/>
      <c r="J22" s="247"/>
      <c r="K22" s="247"/>
      <c r="L22" s="247"/>
      <c r="M22" s="247"/>
      <c r="N22" s="250"/>
    </row>
    <row r="23" spans="3:14" s="241" customFormat="1" ht="21.95" customHeight="1" x14ac:dyDescent="0.15">
      <c r="C23" s="249"/>
      <c r="D23" s="247"/>
      <c r="E23" s="247"/>
      <c r="F23" s="247"/>
      <c r="G23" s="248"/>
      <c r="H23" s="248"/>
      <c r="I23" s="247"/>
      <c r="J23" s="247"/>
      <c r="K23" s="247"/>
      <c r="L23" s="247"/>
      <c r="M23" s="247"/>
      <c r="N23" s="246"/>
    </row>
    <row r="24" spans="3:14" s="241" customFormat="1" ht="21.95" customHeight="1" x14ac:dyDescent="0.15">
      <c r="C24" s="249"/>
      <c r="D24" s="247"/>
      <c r="E24" s="247"/>
      <c r="F24" s="247"/>
      <c r="G24" s="248"/>
      <c r="H24" s="248"/>
      <c r="I24" s="247"/>
      <c r="J24" s="247"/>
      <c r="K24" s="247"/>
      <c r="L24" s="247"/>
      <c r="M24" s="247"/>
      <c r="N24" s="246"/>
    </row>
    <row r="25" spans="3:14" ht="21" customHeight="1" thickBot="1" x14ac:dyDescent="0.2">
      <c r="C25" s="245"/>
      <c r="D25" s="243"/>
      <c r="E25" s="243"/>
      <c r="F25" s="243"/>
      <c r="G25" s="243"/>
      <c r="H25" s="243"/>
      <c r="I25" s="243"/>
      <c r="J25" s="243"/>
      <c r="K25" s="244"/>
      <c r="L25" s="243"/>
      <c r="M25" s="243"/>
      <c r="N25" s="242"/>
    </row>
    <row r="26" spans="3:14" x14ac:dyDescent="0.15">
      <c r="N26" s="292" t="s">
        <v>215</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 top="0.74803149606299213" bottom="0.74803149606299213" header="0.31496062992125984" footer="0.31496062992125984"/>
  <pageSetup paperSize="9" scale="95" fitToWidth="0" orientation="landscape" r:id="rId1"/>
  <headerFooter>
    <oddFooter>&amp;R&amp;14R５（補正）太陽光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ColWidth="9" defaultRowHeight="13.5" x14ac:dyDescent="0.15"/>
  <cols>
    <col min="1" max="1" width="10.375" style="84" customWidth="1"/>
    <col min="2" max="3" width="9" style="84"/>
    <col min="4" max="4" width="9.25" style="84" customWidth="1"/>
    <col min="5" max="6" width="7.625" style="84" customWidth="1"/>
    <col min="7" max="8" width="7.75" style="84" customWidth="1"/>
    <col min="9" max="14" width="6.875" style="84" customWidth="1"/>
    <col min="15" max="16" width="8.125" style="84" customWidth="1"/>
    <col min="17" max="17" width="14.125" style="84" customWidth="1"/>
    <col min="18" max="18" width="9" style="84"/>
    <col min="19" max="19" width="10.5" style="84" customWidth="1"/>
    <col min="20" max="16384" width="9" style="84"/>
  </cols>
  <sheetData>
    <row r="1" spans="1:17" ht="17.25" x14ac:dyDescent="0.15">
      <c r="A1" s="154" t="s">
        <v>93</v>
      </c>
      <c r="B1" s="133"/>
      <c r="C1" s="133"/>
      <c r="D1" s="133"/>
      <c r="E1" s="133"/>
      <c r="F1" s="133"/>
      <c r="G1" s="133"/>
      <c r="H1" s="133"/>
      <c r="I1" s="133"/>
      <c r="J1" s="133"/>
      <c r="K1" s="133"/>
      <c r="L1" s="133"/>
      <c r="M1" s="133"/>
      <c r="N1" s="133"/>
      <c r="O1" s="133"/>
      <c r="P1" s="133"/>
      <c r="Q1" s="133"/>
    </row>
    <row r="2" spans="1:17" ht="17.25" x14ac:dyDescent="0.15">
      <c r="A2" s="154" t="s">
        <v>94</v>
      </c>
      <c r="B2" s="133"/>
      <c r="C2" s="133"/>
      <c r="D2" s="133"/>
      <c r="E2" s="133"/>
      <c r="F2" s="133"/>
      <c r="G2" s="133"/>
      <c r="H2" s="133"/>
      <c r="I2" s="133"/>
      <c r="J2" s="133"/>
      <c r="K2" s="133"/>
      <c r="L2" s="133"/>
      <c r="M2" s="133"/>
      <c r="N2" s="133"/>
      <c r="O2" s="133"/>
      <c r="P2" s="133"/>
      <c r="Q2" s="133"/>
    </row>
    <row r="3" spans="1:17" x14ac:dyDescent="0.15">
      <c r="A3" s="133"/>
      <c r="B3" s="133"/>
      <c r="C3" s="133"/>
      <c r="D3" s="133"/>
      <c r="E3" s="133"/>
      <c r="F3" s="133"/>
      <c r="G3" s="133"/>
      <c r="H3" s="133"/>
      <c r="I3" s="133"/>
      <c r="J3" s="133"/>
      <c r="K3" s="133"/>
      <c r="L3" s="133"/>
      <c r="M3" s="133"/>
      <c r="N3" s="133"/>
      <c r="O3" s="133"/>
      <c r="P3" s="133"/>
      <c r="Q3" s="133"/>
    </row>
    <row r="4" spans="1:17" x14ac:dyDescent="0.15">
      <c r="A4" s="133" t="s">
        <v>95</v>
      </c>
      <c r="B4" s="133"/>
      <c r="C4" s="133"/>
      <c r="D4" s="133"/>
      <c r="E4" s="133"/>
      <c r="F4" s="133"/>
      <c r="G4" s="133"/>
      <c r="H4" s="133"/>
      <c r="I4" s="133"/>
      <c r="J4" s="133"/>
      <c r="K4" s="133"/>
      <c r="L4" s="133"/>
      <c r="M4" s="133"/>
      <c r="N4" s="133"/>
      <c r="O4" s="133"/>
      <c r="P4" s="133"/>
      <c r="Q4" s="133"/>
    </row>
    <row r="5" spans="1:17" x14ac:dyDescent="0.15">
      <c r="A5" s="133" t="s">
        <v>96</v>
      </c>
      <c r="B5" s="133"/>
      <c r="C5" s="133"/>
      <c r="D5" s="133"/>
      <c r="E5" s="133"/>
      <c r="F5" s="133"/>
      <c r="G5" s="133"/>
      <c r="H5" s="133"/>
      <c r="I5" s="133"/>
      <c r="J5" s="133"/>
      <c r="K5" s="133"/>
      <c r="L5" s="133"/>
      <c r="M5" s="133"/>
      <c r="N5" s="133"/>
      <c r="O5" s="133"/>
      <c r="P5" s="133"/>
      <c r="Q5" s="133"/>
    </row>
    <row r="6" spans="1:17" x14ac:dyDescent="0.15">
      <c r="A6" s="133" t="s">
        <v>97</v>
      </c>
      <c r="B6" s="133"/>
      <c r="C6" s="133"/>
      <c r="D6" s="133"/>
      <c r="E6" s="133"/>
      <c r="F6" s="133"/>
      <c r="G6" s="133"/>
      <c r="H6" s="133"/>
      <c r="I6" s="133"/>
      <c r="J6" s="133"/>
      <c r="K6" s="133"/>
      <c r="L6" s="133"/>
      <c r="M6" s="133"/>
      <c r="N6" s="133"/>
      <c r="O6" s="133"/>
      <c r="P6" s="133"/>
      <c r="Q6" s="133"/>
    </row>
    <row r="7" spans="1:17" x14ac:dyDescent="0.15">
      <c r="A7" s="133"/>
      <c r="B7" s="133"/>
      <c r="C7" s="133"/>
      <c r="D7" s="133"/>
      <c r="E7" s="133"/>
      <c r="F7" s="133"/>
      <c r="G7" s="133"/>
      <c r="H7" s="133"/>
      <c r="I7" s="133"/>
      <c r="J7" s="133"/>
      <c r="K7" s="133"/>
      <c r="L7" s="133"/>
      <c r="M7" s="133"/>
      <c r="N7" s="133"/>
      <c r="O7" s="133"/>
      <c r="P7" s="133"/>
      <c r="Q7" s="133"/>
    </row>
    <row r="8" spans="1:17" ht="13.5" customHeight="1" x14ac:dyDescent="0.15">
      <c r="A8" s="153"/>
      <c r="B8" s="152"/>
      <c r="C8" s="152"/>
      <c r="D8" s="152"/>
      <c r="E8" s="152"/>
      <c r="F8" s="152"/>
      <c r="G8" s="152"/>
      <c r="H8" s="152"/>
      <c r="I8" s="151"/>
      <c r="J8" s="151"/>
      <c r="K8" s="151"/>
      <c r="L8" s="151"/>
      <c r="M8" s="151"/>
      <c r="N8" s="151"/>
      <c r="O8" s="151"/>
      <c r="P8" s="151"/>
      <c r="Q8" s="150"/>
    </row>
    <row r="9" spans="1:17" ht="14.25" x14ac:dyDescent="0.15">
      <c r="A9" s="149" t="s">
        <v>98</v>
      </c>
      <c r="B9" s="87"/>
      <c r="C9" s="87"/>
      <c r="D9" s="87"/>
      <c r="E9" s="87"/>
      <c r="F9" s="87"/>
      <c r="G9" s="87"/>
      <c r="H9" s="87"/>
      <c r="I9" s="133"/>
      <c r="J9" s="133"/>
      <c r="K9" s="133"/>
      <c r="L9" s="133"/>
      <c r="M9" s="133"/>
      <c r="N9" s="133"/>
      <c r="O9" s="133"/>
      <c r="P9" s="133"/>
      <c r="Q9" s="148"/>
    </row>
    <row r="10" spans="1:17" ht="14.25" customHeight="1" x14ac:dyDescent="0.15">
      <c r="A10" s="568" t="s">
        <v>99</v>
      </c>
      <c r="B10" s="569"/>
      <c r="C10" s="569"/>
      <c r="D10" s="569"/>
      <c r="E10" s="569"/>
      <c r="F10" s="569"/>
      <c r="G10" s="569"/>
      <c r="H10" s="569"/>
      <c r="I10" s="569"/>
      <c r="J10" s="569"/>
      <c r="K10" s="569"/>
      <c r="L10" s="569"/>
      <c r="M10" s="569"/>
      <c r="N10" s="569"/>
      <c r="O10" s="569"/>
      <c r="P10" s="569"/>
      <c r="Q10" s="570"/>
    </row>
    <row r="11" spans="1:17" ht="13.5" customHeight="1" x14ac:dyDescent="0.15">
      <c r="A11" s="610" t="s">
        <v>100</v>
      </c>
      <c r="B11" s="611"/>
      <c r="C11" s="611"/>
      <c r="D11" s="611"/>
      <c r="E11" s="611"/>
      <c r="F11" s="611"/>
      <c r="G11" s="611"/>
      <c r="H11" s="611"/>
      <c r="I11" s="611"/>
      <c r="J11" s="611"/>
      <c r="K11" s="611"/>
      <c r="L11" s="611"/>
      <c r="M11" s="611"/>
      <c r="N11" s="611"/>
      <c r="O11" s="611"/>
      <c r="P11" s="611"/>
      <c r="Q11" s="612"/>
    </row>
    <row r="12" spans="1:17" x14ac:dyDescent="0.15">
      <c r="A12" s="147"/>
      <c r="B12" s="146"/>
      <c r="C12" s="146"/>
      <c r="D12" s="146"/>
      <c r="E12" s="146"/>
      <c r="F12" s="146"/>
      <c r="G12" s="146"/>
      <c r="H12" s="146"/>
      <c r="I12" s="145"/>
      <c r="J12" s="145"/>
      <c r="K12" s="145"/>
      <c r="L12" s="145"/>
      <c r="M12" s="145"/>
      <c r="N12" s="145"/>
      <c r="O12" s="145"/>
      <c r="P12" s="145"/>
      <c r="Q12" s="144"/>
    </row>
    <row r="13" spans="1:17" x14ac:dyDescent="0.15">
      <c r="A13" s="87"/>
      <c r="B13" s="87"/>
      <c r="C13" s="87"/>
      <c r="D13" s="87"/>
      <c r="E13" s="87"/>
      <c r="F13" s="87"/>
      <c r="G13" s="87"/>
      <c r="H13" s="87"/>
      <c r="I13" s="133"/>
      <c r="J13" s="133"/>
      <c r="K13" s="133"/>
      <c r="L13" s="133"/>
      <c r="M13" s="133"/>
      <c r="N13" s="133"/>
      <c r="O13" s="133"/>
      <c r="P13" s="133"/>
      <c r="Q13" s="133"/>
    </row>
    <row r="14" spans="1:17" x14ac:dyDescent="0.15">
      <c r="A14" s="139" t="s">
        <v>101</v>
      </c>
      <c r="B14" s="133"/>
      <c r="C14" s="133"/>
      <c r="D14" s="133"/>
      <c r="E14" s="133"/>
      <c r="F14" s="133"/>
      <c r="G14" s="133"/>
      <c r="H14" s="133"/>
      <c r="I14" s="133"/>
      <c r="J14" s="133"/>
      <c r="K14" s="133"/>
      <c r="L14" s="133"/>
      <c r="M14" s="133"/>
      <c r="N14" s="133"/>
      <c r="O14" s="133"/>
      <c r="P14" s="133"/>
      <c r="Q14" s="133"/>
    </row>
    <row r="15" spans="1:17" x14ac:dyDescent="0.15">
      <c r="A15" s="139" t="s">
        <v>102</v>
      </c>
      <c r="B15" s="133"/>
      <c r="C15" s="133"/>
      <c r="D15" s="133"/>
      <c r="E15" s="133"/>
      <c r="F15" s="133"/>
      <c r="G15" s="133"/>
      <c r="H15" s="133"/>
      <c r="I15" s="133"/>
      <c r="J15" s="133"/>
      <c r="K15" s="133"/>
      <c r="L15" s="133"/>
      <c r="M15" s="133"/>
      <c r="N15" s="133"/>
      <c r="O15" s="133"/>
      <c r="P15" s="133"/>
      <c r="Q15" s="133"/>
    </row>
    <row r="16" spans="1:17" ht="18.75" customHeight="1" x14ac:dyDescent="0.15">
      <c r="A16" s="133"/>
      <c r="B16" s="627" t="s">
        <v>103</v>
      </c>
      <c r="C16" s="628"/>
      <c r="D16" s="628"/>
      <c r="E16" s="628"/>
      <c r="F16" s="628"/>
      <c r="G16" s="628"/>
      <c r="H16" s="628"/>
      <c r="I16" s="628"/>
      <c r="J16" s="628"/>
      <c r="K16" s="628"/>
      <c r="L16" s="628"/>
      <c r="M16" s="628"/>
      <c r="N16" s="629"/>
      <c r="O16" s="133"/>
      <c r="P16" s="133"/>
      <c r="Q16" s="133"/>
    </row>
    <row r="17" spans="1:17" x14ac:dyDescent="0.15">
      <c r="A17" s="143"/>
      <c r="B17" s="143"/>
      <c r="C17" s="143"/>
      <c r="D17" s="143"/>
      <c r="E17" s="143"/>
      <c r="F17" s="143"/>
      <c r="G17" s="143"/>
      <c r="H17" s="143"/>
      <c r="I17" s="143"/>
      <c r="J17" s="143"/>
      <c r="K17" s="143"/>
      <c r="L17" s="143"/>
      <c r="M17" s="133"/>
      <c r="N17" s="133"/>
      <c r="O17" s="133"/>
      <c r="P17" s="133"/>
      <c r="Q17" s="133"/>
    </row>
    <row r="18" spans="1:17" x14ac:dyDescent="0.15">
      <c r="A18" s="139" t="s">
        <v>104</v>
      </c>
      <c r="B18" s="133"/>
      <c r="C18" s="133"/>
      <c r="D18" s="133"/>
      <c r="E18" s="133"/>
      <c r="F18" s="133"/>
      <c r="G18" s="133"/>
      <c r="H18" s="133"/>
      <c r="I18" s="133"/>
      <c r="J18" s="133"/>
      <c r="K18" s="133"/>
      <c r="L18" s="133"/>
      <c r="M18" s="133"/>
      <c r="N18" s="133"/>
      <c r="O18" s="133"/>
      <c r="P18" s="133"/>
      <c r="Q18" s="133"/>
    </row>
    <row r="19" spans="1:17" x14ac:dyDescent="0.15">
      <c r="A19" s="139" t="s">
        <v>105</v>
      </c>
      <c r="B19" s="133"/>
      <c r="C19" s="133"/>
      <c r="D19" s="133"/>
      <c r="E19" s="133"/>
      <c r="F19" s="133"/>
      <c r="G19" s="133"/>
      <c r="H19" s="133"/>
      <c r="I19" s="133"/>
      <c r="J19" s="133"/>
      <c r="K19" s="133"/>
      <c r="L19" s="133"/>
      <c r="M19" s="133"/>
      <c r="N19" s="133"/>
      <c r="O19" s="133"/>
      <c r="P19" s="133"/>
      <c r="Q19" s="133"/>
    </row>
    <row r="20" spans="1:17" x14ac:dyDescent="0.15">
      <c r="A20" s="139" t="s">
        <v>106</v>
      </c>
      <c r="B20" s="133"/>
      <c r="C20" s="133"/>
      <c r="D20" s="133"/>
      <c r="E20" s="133"/>
      <c r="F20" s="133"/>
      <c r="G20" s="133"/>
      <c r="H20" s="133"/>
      <c r="I20" s="133"/>
      <c r="J20" s="133"/>
      <c r="K20" s="133"/>
      <c r="L20" s="133"/>
      <c r="M20" s="133"/>
      <c r="N20" s="133"/>
      <c r="O20" s="133"/>
      <c r="P20" s="133"/>
      <c r="Q20" s="133"/>
    </row>
    <row r="21" spans="1:17" ht="18.75" customHeight="1" x14ac:dyDescent="0.15">
      <c r="A21" s="133"/>
      <c r="B21" s="627" t="s">
        <v>107</v>
      </c>
      <c r="C21" s="628"/>
      <c r="D21" s="628"/>
      <c r="E21" s="628"/>
      <c r="F21" s="628"/>
      <c r="G21" s="628"/>
      <c r="H21" s="628"/>
      <c r="I21" s="628"/>
      <c r="J21" s="628"/>
      <c r="K21" s="628"/>
      <c r="L21" s="628"/>
      <c r="M21" s="628"/>
      <c r="N21" s="629"/>
      <c r="O21" s="133"/>
      <c r="P21" s="133"/>
      <c r="Q21" s="133"/>
    </row>
    <row r="22" spans="1:17" x14ac:dyDescent="0.15">
      <c r="A22" s="133"/>
      <c r="B22" s="133"/>
      <c r="C22" s="133"/>
      <c r="D22" s="133"/>
      <c r="E22" s="133"/>
      <c r="F22" s="133"/>
      <c r="G22" s="133"/>
      <c r="H22" s="133"/>
      <c r="I22" s="133"/>
      <c r="J22" s="133"/>
      <c r="K22" s="133"/>
      <c r="L22" s="133"/>
      <c r="M22" s="133"/>
      <c r="N22" s="133"/>
      <c r="O22" s="133"/>
      <c r="P22" s="133"/>
      <c r="Q22" s="133"/>
    </row>
    <row r="23" spans="1:17" x14ac:dyDescent="0.15">
      <c r="A23" s="139" t="s">
        <v>108</v>
      </c>
      <c r="B23" s="133"/>
      <c r="C23" s="133"/>
      <c r="D23" s="133"/>
      <c r="E23" s="133"/>
      <c r="F23" s="133"/>
      <c r="G23" s="133"/>
      <c r="H23" s="133"/>
      <c r="I23" s="133"/>
      <c r="J23" s="133"/>
      <c r="K23" s="133"/>
      <c r="L23" s="133"/>
      <c r="M23" s="133"/>
      <c r="N23" s="133"/>
      <c r="O23" s="133"/>
      <c r="P23" s="133"/>
      <c r="Q23" s="133"/>
    </row>
    <row r="24" spans="1:17" x14ac:dyDescent="0.15">
      <c r="A24" s="133"/>
      <c r="B24" s="639" t="s">
        <v>109</v>
      </c>
      <c r="C24" s="640"/>
      <c r="D24" s="625" t="s">
        <v>110</v>
      </c>
      <c r="E24" s="625"/>
      <c r="F24" s="625"/>
      <c r="G24" s="625"/>
      <c r="H24" s="625"/>
      <c r="I24" s="625"/>
      <c r="J24" s="625"/>
      <c r="K24" s="625"/>
      <c r="L24" s="625"/>
      <c r="M24" s="625"/>
      <c r="N24" s="626"/>
      <c r="O24" s="133"/>
      <c r="P24" s="133"/>
      <c r="Q24" s="133"/>
    </row>
    <row r="25" spans="1:17" x14ac:dyDescent="0.15">
      <c r="A25" s="133"/>
      <c r="B25" s="637" t="s">
        <v>111</v>
      </c>
      <c r="C25" s="638"/>
      <c r="D25" s="632" t="s">
        <v>112</v>
      </c>
      <c r="E25" s="632"/>
      <c r="F25" s="632"/>
      <c r="G25" s="632"/>
      <c r="H25" s="632"/>
      <c r="I25" s="632"/>
      <c r="J25" s="632"/>
      <c r="K25" s="632"/>
      <c r="L25" s="632"/>
      <c r="M25" s="632"/>
      <c r="N25" s="633"/>
      <c r="O25" s="133"/>
      <c r="P25" s="133"/>
      <c r="Q25" s="133"/>
    </row>
    <row r="26" spans="1:17" x14ac:dyDescent="0.15">
      <c r="A26" s="133"/>
      <c r="B26" s="142"/>
      <c r="C26" s="133"/>
      <c r="D26" s="632" t="s">
        <v>113</v>
      </c>
      <c r="E26" s="632"/>
      <c r="F26" s="632"/>
      <c r="G26" s="632"/>
      <c r="H26" s="632"/>
      <c r="I26" s="632"/>
      <c r="J26" s="632"/>
      <c r="K26" s="632"/>
      <c r="L26" s="632"/>
      <c r="M26" s="632"/>
      <c r="N26" s="633"/>
      <c r="O26" s="133"/>
      <c r="P26" s="133"/>
      <c r="Q26" s="133"/>
    </row>
    <row r="27" spans="1:17" x14ac:dyDescent="0.15">
      <c r="A27" s="133"/>
      <c r="B27" s="142"/>
      <c r="C27" s="133"/>
      <c r="D27" s="632" t="s">
        <v>114</v>
      </c>
      <c r="E27" s="632"/>
      <c r="F27" s="632"/>
      <c r="G27" s="632"/>
      <c r="H27" s="632"/>
      <c r="I27" s="632"/>
      <c r="J27" s="632"/>
      <c r="K27" s="632"/>
      <c r="L27" s="632"/>
      <c r="M27" s="632"/>
      <c r="N27" s="633"/>
      <c r="O27" s="133"/>
      <c r="P27" s="133"/>
      <c r="Q27" s="133"/>
    </row>
    <row r="28" spans="1:17" x14ac:dyDescent="0.15">
      <c r="A28" s="133"/>
      <c r="B28" s="141"/>
      <c r="C28" s="140"/>
      <c r="D28" s="630" t="s">
        <v>115</v>
      </c>
      <c r="E28" s="630"/>
      <c r="F28" s="630"/>
      <c r="G28" s="630"/>
      <c r="H28" s="630"/>
      <c r="I28" s="630"/>
      <c r="J28" s="630"/>
      <c r="K28" s="630"/>
      <c r="L28" s="630"/>
      <c r="M28" s="630"/>
      <c r="N28" s="631"/>
      <c r="O28" s="133"/>
      <c r="P28" s="133"/>
      <c r="Q28" s="133"/>
    </row>
    <row r="29" spans="1:17" x14ac:dyDescent="0.15">
      <c r="A29" s="133"/>
      <c r="B29" s="133"/>
      <c r="C29" s="133"/>
      <c r="D29" s="133"/>
      <c r="E29" s="133"/>
      <c r="F29" s="133"/>
      <c r="G29" s="133"/>
      <c r="H29" s="133"/>
      <c r="I29" s="133"/>
      <c r="J29" s="133"/>
      <c r="K29" s="133"/>
      <c r="L29" s="133"/>
      <c r="M29" s="133"/>
      <c r="N29" s="133"/>
      <c r="O29" s="133"/>
      <c r="P29" s="133"/>
      <c r="Q29" s="133"/>
    </row>
    <row r="30" spans="1:17" x14ac:dyDescent="0.15">
      <c r="A30" s="139" t="s">
        <v>116</v>
      </c>
      <c r="B30" s="133"/>
      <c r="C30" s="133"/>
      <c r="D30" s="133"/>
      <c r="E30" s="133"/>
      <c r="F30" s="133"/>
      <c r="G30" s="133"/>
      <c r="H30" s="133"/>
      <c r="I30" s="133"/>
      <c r="J30" s="133"/>
      <c r="K30" s="133"/>
      <c r="L30" s="133"/>
      <c r="M30" s="133"/>
      <c r="N30" s="133"/>
      <c r="O30" s="133"/>
      <c r="P30" s="133"/>
      <c r="Q30" s="133"/>
    </row>
    <row r="31" spans="1:17" ht="18.75" customHeight="1" x14ac:dyDescent="0.15">
      <c r="A31" s="133"/>
      <c r="B31" s="627" t="s">
        <v>117</v>
      </c>
      <c r="C31" s="628"/>
      <c r="D31" s="628"/>
      <c r="E31" s="628"/>
      <c r="F31" s="628"/>
      <c r="G31" s="628"/>
      <c r="H31" s="628"/>
      <c r="I31" s="628"/>
      <c r="J31" s="628"/>
      <c r="K31" s="628"/>
      <c r="L31" s="628"/>
      <c r="M31" s="628"/>
      <c r="N31" s="629"/>
      <c r="O31" s="133"/>
      <c r="P31" s="133"/>
      <c r="Q31" s="133"/>
    </row>
    <row r="32" spans="1:17" x14ac:dyDescent="0.15">
      <c r="A32" s="133"/>
      <c r="B32" s="133"/>
      <c r="C32" s="133"/>
      <c r="D32" s="133"/>
      <c r="E32" s="133"/>
      <c r="F32" s="133"/>
      <c r="G32" s="133"/>
      <c r="H32" s="133"/>
      <c r="I32" s="133"/>
      <c r="J32" s="133"/>
      <c r="K32" s="133"/>
      <c r="L32" s="133"/>
      <c r="M32" s="133"/>
      <c r="N32" s="133"/>
      <c r="O32" s="133"/>
      <c r="P32" s="133"/>
      <c r="Q32" s="133"/>
    </row>
    <row r="33" spans="1:17" x14ac:dyDescent="0.15">
      <c r="A33" s="133"/>
      <c r="B33" s="133" t="s">
        <v>118</v>
      </c>
      <c r="C33" s="133"/>
      <c r="D33" s="133"/>
      <c r="E33" s="133"/>
      <c r="F33" s="133"/>
      <c r="G33" s="133"/>
      <c r="H33" s="133"/>
      <c r="I33" s="133"/>
      <c r="J33" s="133"/>
      <c r="K33" s="133"/>
      <c r="L33" s="133"/>
      <c r="M33" s="133"/>
      <c r="N33" s="133"/>
      <c r="O33" s="133"/>
      <c r="P33" s="133"/>
      <c r="Q33" s="133"/>
    </row>
    <row r="34" spans="1:17" ht="17.25" customHeight="1" x14ac:dyDescent="0.15">
      <c r="A34" s="133"/>
      <c r="B34" s="133"/>
      <c r="C34" s="133"/>
      <c r="D34" s="641" t="s">
        <v>119</v>
      </c>
      <c r="E34" s="634" t="s">
        <v>120</v>
      </c>
      <c r="F34" s="635"/>
      <c r="G34" s="636"/>
      <c r="H34" s="133"/>
      <c r="I34" s="133"/>
      <c r="J34" s="133"/>
      <c r="K34" s="133"/>
      <c r="L34" s="133"/>
      <c r="M34" s="133"/>
      <c r="N34" s="133"/>
      <c r="O34" s="133"/>
      <c r="P34" s="133"/>
      <c r="Q34" s="133"/>
    </row>
    <row r="35" spans="1:17" ht="17.25" customHeight="1" thickBot="1" x14ac:dyDescent="0.2">
      <c r="A35" s="133"/>
      <c r="B35" s="133"/>
      <c r="C35" s="133"/>
      <c r="D35" s="642"/>
      <c r="E35" s="622" t="s">
        <v>121</v>
      </c>
      <c r="F35" s="623"/>
      <c r="G35" s="624"/>
      <c r="H35" s="133"/>
      <c r="I35" s="133"/>
      <c r="J35" s="133"/>
      <c r="K35" s="133"/>
      <c r="L35" s="133"/>
      <c r="M35" s="133"/>
      <c r="N35" s="133"/>
      <c r="O35" s="133"/>
      <c r="P35" s="133"/>
      <c r="Q35" s="133"/>
    </row>
    <row r="36" spans="1:17" ht="18" customHeight="1" thickTop="1" x14ac:dyDescent="0.15">
      <c r="A36" s="133"/>
      <c r="B36" s="133"/>
      <c r="C36" s="133"/>
      <c r="D36" s="138" t="s">
        <v>122</v>
      </c>
      <c r="E36" s="619">
        <v>22</v>
      </c>
      <c r="F36" s="620"/>
      <c r="G36" s="621"/>
      <c r="H36" s="133"/>
      <c r="I36" s="133"/>
      <c r="J36" s="133"/>
      <c r="K36" s="133"/>
      <c r="L36" s="133"/>
      <c r="M36" s="133"/>
      <c r="N36" s="133"/>
      <c r="O36" s="133"/>
      <c r="P36" s="133"/>
      <c r="Q36" s="133"/>
    </row>
    <row r="37" spans="1:17" ht="18" customHeight="1" x14ac:dyDescent="0.15">
      <c r="A37" s="133"/>
      <c r="B37" s="133"/>
      <c r="C37" s="133"/>
      <c r="D37" s="137" t="s">
        <v>123</v>
      </c>
      <c r="E37" s="616">
        <v>39</v>
      </c>
      <c r="F37" s="617"/>
      <c r="G37" s="618"/>
      <c r="H37" s="133"/>
      <c r="I37" s="133"/>
      <c r="J37" s="133"/>
      <c r="K37" s="133"/>
      <c r="L37" s="133"/>
      <c r="M37" s="133"/>
      <c r="N37" s="133"/>
      <c r="O37" s="133"/>
      <c r="P37" s="133"/>
      <c r="Q37" s="133"/>
    </row>
    <row r="38" spans="1:17" ht="18" customHeight="1" x14ac:dyDescent="0.15">
      <c r="A38" s="133"/>
      <c r="B38" s="133"/>
      <c r="C38" s="133"/>
      <c r="D38" s="137" t="s">
        <v>124</v>
      </c>
      <c r="E38" s="613">
        <v>1490</v>
      </c>
      <c r="F38" s="614"/>
      <c r="G38" s="615"/>
      <c r="H38" s="133"/>
      <c r="I38" s="133"/>
      <c r="J38" s="133"/>
      <c r="K38" s="133"/>
      <c r="L38" s="133"/>
      <c r="M38" s="133"/>
      <c r="N38" s="133"/>
      <c r="O38" s="133"/>
      <c r="P38" s="133"/>
      <c r="Q38" s="133"/>
    </row>
    <row r="39" spans="1:17" ht="15" customHeight="1" x14ac:dyDescent="0.15">
      <c r="A39" s="133"/>
      <c r="B39" s="133"/>
      <c r="C39" s="88" t="s">
        <v>125</v>
      </c>
      <c r="D39" s="588" t="s">
        <v>126</v>
      </c>
      <c r="E39" s="588"/>
      <c r="F39" s="588"/>
      <c r="G39" s="588"/>
      <c r="H39" s="588"/>
      <c r="I39" s="588"/>
      <c r="J39" s="588"/>
      <c r="K39" s="588"/>
      <c r="L39" s="588"/>
      <c r="M39" s="588"/>
      <c r="N39" s="588"/>
      <c r="O39" s="588"/>
      <c r="P39" s="135"/>
      <c r="Q39" s="135"/>
    </row>
    <row r="40" spans="1:17" ht="15" customHeight="1" x14ac:dyDescent="0.15">
      <c r="A40" s="136"/>
      <c r="B40" s="133"/>
      <c r="C40" s="133"/>
      <c r="D40" s="588"/>
      <c r="E40" s="588"/>
      <c r="F40" s="588"/>
      <c r="G40" s="588"/>
      <c r="H40" s="588"/>
      <c r="I40" s="588"/>
      <c r="J40" s="588"/>
      <c r="K40" s="588"/>
      <c r="L40" s="588"/>
      <c r="M40" s="588"/>
      <c r="N40" s="588"/>
      <c r="O40" s="588"/>
      <c r="P40" s="135"/>
      <c r="Q40" s="135"/>
    </row>
    <row r="41" spans="1:17" ht="15" customHeight="1" x14ac:dyDescent="0.15">
      <c r="A41" s="136"/>
      <c r="B41" s="133"/>
      <c r="C41" s="133"/>
      <c r="D41" s="588"/>
      <c r="E41" s="588"/>
      <c r="F41" s="588"/>
      <c r="G41" s="588"/>
      <c r="H41" s="588"/>
      <c r="I41" s="588"/>
      <c r="J41" s="588"/>
      <c r="K41" s="588"/>
      <c r="L41" s="588"/>
      <c r="M41" s="588"/>
      <c r="N41" s="588"/>
      <c r="O41" s="588"/>
      <c r="P41" s="135"/>
      <c r="Q41" s="135"/>
    </row>
    <row r="42" spans="1:17" x14ac:dyDescent="0.15">
      <c r="A42" s="133"/>
      <c r="B42" s="133"/>
      <c r="C42" s="88" t="s">
        <v>127</v>
      </c>
      <c r="D42" s="134" t="s">
        <v>128</v>
      </c>
      <c r="E42" s="133"/>
      <c r="F42" s="133"/>
      <c r="G42" s="133"/>
      <c r="H42" s="133"/>
      <c r="I42" s="133"/>
      <c r="J42" s="133"/>
      <c r="K42" s="133"/>
      <c r="L42" s="133"/>
      <c r="M42" s="133"/>
      <c r="N42" s="133"/>
      <c r="O42" s="133"/>
      <c r="P42" s="133"/>
      <c r="Q42" s="133"/>
    </row>
    <row r="43" spans="1:17" x14ac:dyDescent="0.15">
      <c r="A43" s="133"/>
      <c r="B43" s="133"/>
      <c r="C43" s="133"/>
      <c r="D43" s="133"/>
      <c r="E43" s="133"/>
      <c r="F43" s="133"/>
      <c r="G43" s="133"/>
      <c r="H43" s="133"/>
      <c r="I43" s="133"/>
      <c r="J43" s="133"/>
      <c r="K43" s="133"/>
      <c r="L43" s="133"/>
      <c r="M43" s="133"/>
      <c r="N43" s="133"/>
      <c r="O43" s="133"/>
      <c r="P43" s="133"/>
      <c r="Q43" s="133"/>
    </row>
    <row r="44" spans="1:17" ht="14.25" thickBot="1" x14ac:dyDescent="0.2">
      <c r="A44" s="589" t="s">
        <v>129</v>
      </c>
      <c r="B44" s="589"/>
      <c r="C44" s="589"/>
      <c r="D44" s="589"/>
      <c r="E44" s="589"/>
      <c r="F44" s="589"/>
      <c r="G44" s="589"/>
      <c r="H44" s="589"/>
      <c r="I44" s="589"/>
      <c r="J44" s="589"/>
      <c r="K44" s="589"/>
      <c r="L44" s="589"/>
      <c r="M44" s="589"/>
      <c r="N44" s="589"/>
      <c r="O44" s="589"/>
      <c r="P44" s="589"/>
      <c r="Q44" s="589"/>
    </row>
    <row r="45" spans="1:17" ht="28.5" customHeight="1" x14ac:dyDescent="0.15">
      <c r="A45" s="579" t="s">
        <v>130</v>
      </c>
      <c r="B45" s="579" t="s">
        <v>131</v>
      </c>
      <c r="C45" s="645" t="s">
        <v>132</v>
      </c>
      <c r="D45" s="646"/>
      <c r="E45" s="645" t="s">
        <v>133</v>
      </c>
      <c r="F45" s="647"/>
      <c r="G45" s="645" t="s">
        <v>134</v>
      </c>
      <c r="H45" s="646"/>
      <c r="I45" s="646"/>
      <c r="J45" s="646"/>
      <c r="K45" s="646"/>
      <c r="L45" s="646"/>
      <c r="M45" s="646"/>
      <c r="N45" s="646"/>
      <c r="O45" s="579" t="s">
        <v>135</v>
      </c>
      <c r="P45" s="579" t="s">
        <v>136</v>
      </c>
      <c r="Q45" s="579" t="s">
        <v>137</v>
      </c>
    </row>
    <row r="46" spans="1:17" ht="18.75" customHeight="1" x14ac:dyDescent="0.15">
      <c r="A46" s="580"/>
      <c r="B46" s="580"/>
      <c r="C46" s="643"/>
      <c r="D46" s="644"/>
      <c r="E46" s="643"/>
      <c r="F46" s="648"/>
      <c r="G46" s="643" t="s">
        <v>138</v>
      </c>
      <c r="H46" s="644"/>
      <c r="I46" s="644"/>
      <c r="J46" s="644"/>
      <c r="K46" s="644"/>
      <c r="L46" s="644"/>
      <c r="M46" s="644"/>
      <c r="N46" s="644"/>
      <c r="O46" s="580"/>
      <c r="P46" s="580"/>
      <c r="Q46" s="580"/>
    </row>
    <row r="47" spans="1:17" ht="18.75" customHeight="1" x14ac:dyDescent="0.15">
      <c r="A47" s="580"/>
      <c r="B47" s="580"/>
      <c r="C47" s="574"/>
      <c r="D47" s="583" t="s">
        <v>139</v>
      </c>
      <c r="E47" s="594" t="s">
        <v>140</v>
      </c>
      <c r="F47" s="596" t="s">
        <v>141</v>
      </c>
      <c r="G47" s="606" t="s">
        <v>142</v>
      </c>
      <c r="H47" s="607"/>
      <c r="I47" s="566">
        <v>0.1</v>
      </c>
      <c r="J47" s="590">
        <v>0.2</v>
      </c>
      <c r="K47" s="590">
        <v>0.4</v>
      </c>
      <c r="L47" s="590">
        <v>0.6</v>
      </c>
      <c r="M47" s="590">
        <v>0.8</v>
      </c>
      <c r="N47" s="604">
        <v>1</v>
      </c>
      <c r="O47" s="109" t="s">
        <v>143</v>
      </c>
      <c r="P47" s="109" t="s">
        <v>144</v>
      </c>
      <c r="Q47" s="132" t="s">
        <v>145</v>
      </c>
    </row>
    <row r="48" spans="1:17" ht="18.75" customHeight="1" thickBot="1" x14ac:dyDescent="0.2">
      <c r="A48" s="582"/>
      <c r="B48" s="582"/>
      <c r="C48" s="575"/>
      <c r="D48" s="584"/>
      <c r="E48" s="595"/>
      <c r="F48" s="597"/>
      <c r="G48" s="131" t="s">
        <v>140</v>
      </c>
      <c r="H48" s="130" t="s">
        <v>141</v>
      </c>
      <c r="I48" s="567"/>
      <c r="J48" s="591"/>
      <c r="K48" s="591"/>
      <c r="L48" s="591"/>
      <c r="M48" s="591"/>
      <c r="N48" s="605"/>
      <c r="O48" s="129" t="s">
        <v>146</v>
      </c>
      <c r="P48" s="129" t="s">
        <v>86</v>
      </c>
      <c r="Q48" s="128" t="s">
        <v>147</v>
      </c>
    </row>
    <row r="49" spans="1:23" ht="32.25" customHeight="1" thickTop="1" x14ac:dyDescent="0.15">
      <c r="A49" s="110" t="s">
        <v>148</v>
      </c>
      <c r="B49" s="587" t="s">
        <v>149</v>
      </c>
      <c r="C49" s="127" t="s">
        <v>148</v>
      </c>
      <c r="D49" s="123">
        <v>350</v>
      </c>
      <c r="E49" s="120">
        <v>0.41</v>
      </c>
      <c r="F49" s="119">
        <v>0.1</v>
      </c>
      <c r="G49" s="106">
        <v>0.74099999999999999</v>
      </c>
      <c r="H49" s="122">
        <v>2.74</v>
      </c>
      <c r="I49" s="104">
        <v>2.74</v>
      </c>
      <c r="J49" s="103">
        <v>1.44</v>
      </c>
      <c r="K49" s="103">
        <v>0.75800000000000001</v>
      </c>
      <c r="L49" s="103">
        <v>0.52100000000000002</v>
      </c>
      <c r="M49" s="103">
        <v>0.39900000000000002</v>
      </c>
      <c r="N49" s="101">
        <v>0.32400000000000001</v>
      </c>
      <c r="O49" s="576">
        <v>34.6</v>
      </c>
      <c r="P49" s="576">
        <v>1.83E-2</v>
      </c>
      <c r="Q49" s="585">
        <v>2.3216600000000001</v>
      </c>
    </row>
    <row r="50" spans="1:23" ht="32.25" customHeight="1" x14ac:dyDescent="0.15">
      <c r="A50" s="110" t="s">
        <v>150</v>
      </c>
      <c r="B50" s="580"/>
      <c r="C50" s="126">
        <v>1999</v>
      </c>
      <c r="D50" s="107">
        <v>1000</v>
      </c>
      <c r="E50" s="120">
        <v>0.32</v>
      </c>
      <c r="F50" s="119">
        <v>0.1</v>
      </c>
      <c r="G50" s="106">
        <v>0.47199999999999998</v>
      </c>
      <c r="H50" s="122">
        <v>1.39</v>
      </c>
      <c r="I50" s="104">
        <v>1.39</v>
      </c>
      <c r="J50" s="116">
        <v>0.73</v>
      </c>
      <c r="K50" s="103">
        <v>0.38400000000000001</v>
      </c>
      <c r="L50" s="103">
        <v>0.26400000000000001</v>
      </c>
      <c r="M50" s="103">
        <v>0.20200000000000001</v>
      </c>
      <c r="N50" s="101">
        <v>0.16400000000000001</v>
      </c>
      <c r="O50" s="577"/>
      <c r="P50" s="577"/>
      <c r="Q50" s="572"/>
    </row>
    <row r="51" spans="1:23" ht="32.25" customHeight="1" thickBot="1" x14ac:dyDescent="0.2">
      <c r="A51" s="99" t="s">
        <v>151</v>
      </c>
      <c r="B51" s="581"/>
      <c r="C51" s="125">
        <v>2000</v>
      </c>
      <c r="D51" s="97">
        <v>2000</v>
      </c>
      <c r="E51" s="96">
        <v>0.52</v>
      </c>
      <c r="F51" s="95">
        <v>0.24</v>
      </c>
      <c r="G51" s="94">
        <v>0.192</v>
      </c>
      <c r="H51" s="93">
        <v>0.39400000000000002</v>
      </c>
      <c r="I51" s="92">
        <v>0.88600000000000001</v>
      </c>
      <c r="J51" s="91">
        <v>0.46600000000000003</v>
      </c>
      <c r="K51" s="91">
        <v>0.245</v>
      </c>
      <c r="L51" s="91">
        <v>0.16800000000000001</v>
      </c>
      <c r="M51" s="91">
        <v>0.129</v>
      </c>
      <c r="N51" s="90">
        <v>0.105</v>
      </c>
      <c r="O51" s="578"/>
      <c r="P51" s="578"/>
      <c r="Q51" s="586"/>
      <c r="S51" s="124" t="s">
        <v>64</v>
      </c>
      <c r="T51" s="100" t="s">
        <v>71</v>
      </c>
    </row>
    <row r="52" spans="1:23" ht="32.25" customHeight="1" thickBot="1" x14ac:dyDescent="0.2">
      <c r="A52" s="110" t="s">
        <v>150</v>
      </c>
      <c r="B52" s="579" t="s">
        <v>152</v>
      </c>
      <c r="C52" s="108" t="s">
        <v>153</v>
      </c>
      <c r="D52" s="123">
        <v>500</v>
      </c>
      <c r="E52" s="120">
        <v>0.36</v>
      </c>
      <c r="F52" s="119">
        <v>0.1</v>
      </c>
      <c r="G52" s="106">
        <v>0.59199999999999997</v>
      </c>
      <c r="H52" s="122">
        <v>1.67</v>
      </c>
      <c r="I52" s="104">
        <v>1.67</v>
      </c>
      <c r="J52" s="103">
        <v>0.95399999999999996</v>
      </c>
      <c r="K52" s="103">
        <v>0.54300000000000004</v>
      </c>
      <c r="L52" s="103">
        <v>0.39100000000000001</v>
      </c>
      <c r="M52" s="103">
        <v>0.309</v>
      </c>
      <c r="N52" s="101">
        <v>0.25800000000000001</v>
      </c>
      <c r="O52" s="608">
        <v>37.700000000000003</v>
      </c>
      <c r="P52" s="608">
        <v>1.8700000000000001E-2</v>
      </c>
      <c r="Q52" s="571">
        <v>2.5849633333333299</v>
      </c>
      <c r="S52" s="84" t="s">
        <v>73</v>
      </c>
    </row>
    <row r="53" spans="1:23" ht="32.25" customHeight="1" thickBot="1" x14ac:dyDescent="0.2">
      <c r="A53" s="110" t="s">
        <v>151</v>
      </c>
      <c r="B53" s="580"/>
      <c r="C53" s="108" t="s">
        <v>154</v>
      </c>
      <c r="D53" s="107">
        <v>1500</v>
      </c>
      <c r="E53" s="120">
        <v>0.42</v>
      </c>
      <c r="F53" s="119">
        <v>0.17</v>
      </c>
      <c r="G53" s="106">
        <v>0.255</v>
      </c>
      <c r="H53" s="121">
        <v>0.53</v>
      </c>
      <c r="I53" s="104">
        <v>0.81599999999999995</v>
      </c>
      <c r="J53" s="103">
        <v>0.46500000000000002</v>
      </c>
      <c r="K53" s="103">
        <v>0.26500000000000001</v>
      </c>
      <c r="L53" s="103">
        <v>0.191</v>
      </c>
      <c r="M53" s="103">
        <v>0.151</v>
      </c>
      <c r="N53" s="101">
        <v>0.126</v>
      </c>
      <c r="O53" s="577"/>
      <c r="P53" s="577"/>
      <c r="Q53" s="572"/>
      <c r="T53" s="117">
        <v>6000</v>
      </c>
      <c r="U53" s="84" t="s">
        <v>74</v>
      </c>
    </row>
    <row r="54" spans="1:23" ht="32.25" customHeight="1" thickBot="1" x14ac:dyDescent="0.2">
      <c r="A54" s="110"/>
      <c r="B54" s="580"/>
      <c r="C54" s="108" t="s">
        <v>155</v>
      </c>
      <c r="D54" s="107">
        <v>3000</v>
      </c>
      <c r="E54" s="120">
        <v>0.57999999999999996</v>
      </c>
      <c r="F54" s="119">
        <v>0.39</v>
      </c>
      <c r="G54" s="106">
        <v>0.124</v>
      </c>
      <c r="H54" s="114">
        <v>0.17199999999999999</v>
      </c>
      <c r="I54" s="104">
        <v>0.51900000000000002</v>
      </c>
      <c r="J54" s="103">
        <v>0.29499999999999998</v>
      </c>
      <c r="K54" s="103">
        <v>0.16800000000000001</v>
      </c>
      <c r="L54" s="103">
        <v>0.121</v>
      </c>
      <c r="M54" s="103">
        <v>9.5799999999999996E-2</v>
      </c>
      <c r="N54" s="113">
        <v>0.08</v>
      </c>
      <c r="O54" s="577"/>
      <c r="P54" s="577"/>
      <c r="Q54" s="572"/>
      <c r="S54" s="118" t="s">
        <v>68</v>
      </c>
      <c r="T54" s="86">
        <f>VLOOKUP(T53,T60:U67,2)</f>
        <v>7000</v>
      </c>
      <c r="U54" s="84" t="s">
        <v>74</v>
      </c>
    </row>
    <row r="55" spans="1:23" ht="32.25" customHeight="1" thickBot="1" x14ac:dyDescent="0.2">
      <c r="A55" s="110"/>
      <c r="B55" s="580"/>
      <c r="C55" s="108" t="s">
        <v>156</v>
      </c>
      <c r="D55" s="107">
        <v>5000</v>
      </c>
      <c r="E55" s="598">
        <v>0.62</v>
      </c>
      <c r="F55" s="601">
        <v>0.49</v>
      </c>
      <c r="G55" s="106">
        <v>8.4400000000000003E-2</v>
      </c>
      <c r="H55" s="114">
        <v>0.10199999999999999</v>
      </c>
      <c r="I55" s="104">
        <v>0.371</v>
      </c>
      <c r="J55" s="103">
        <v>0.21199999999999999</v>
      </c>
      <c r="K55" s="116">
        <v>0.12</v>
      </c>
      <c r="L55" s="103">
        <v>8.6699999999999999E-2</v>
      </c>
      <c r="M55" s="103">
        <v>6.8599999999999994E-2</v>
      </c>
      <c r="N55" s="101">
        <v>5.7299999999999997E-2</v>
      </c>
      <c r="O55" s="577"/>
      <c r="P55" s="577"/>
      <c r="Q55" s="572"/>
      <c r="S55" s="118" t="s">
        <v>75</v>
      </c>
      <c r="T55" s="117">
        <v>100</v>
      </c>
      <c r="U55" s="84" t="s">
        <v>76</v>
      </c>
    </row>
    <row r="56" spans="1:23" ht="32.25" customHeight="1" thickBot="1" x14ac:dyDescent="0.2">
      <c r="A56" s="110"/>
      <c r="B56" s="580"/>
      <c r="C56" s="108" t="s">
        <v>157</v>
      </c>
      <c r="D56" s="107">
        <v>7000</v>
      </c>
      <c r="E56" s="599"/>
      <c r="F56" s="602"/>
      <c r="G56" s="106">
        <v>6.7699999999999996E-2</v>
      </c>
      <c r="H56" s="105">
        <v>8.2000000000000003E-2</v>
      </c>
      <c r="I56" s="104">
        <v>0.29799999999999999</v>
      </c>
      <c r="J56" s="116">
        <v>0.17</v>
      </c>
      <c r="K56" s="103">
        <v>9.6699999999999994E-2</v>
      </c>
      <c r="L56" s="103">
        <v>6.9599999999999995E-2</v>
      </c>
      <c r="M56" s="103">
        <v>5.5100000000000003E-2</v>
      </c>
      <c r="N56" s="101">
        <v>4.5900000000000003E-2</v>
      </c>
      <c r="O56" s="577"/>
      <c r="P56" s="577"/>
      <c r="Q56" s="572"/>
      <c r="S56" s="100" t="s">
        <v>69</v>
      </c>
      <c r="T56" s="84" t="s">
        <v>77</v>
      </c>
      <c r="U56" s="84" t="s">
        <v>78</v>
      </c>
      <c r="V56" s="115" t="s">
        <v>79</v>
      </c>
      <c r="W56" s="84" t="s">
        <v>81</v>
      </c>
    </row>
    <row r="57" spans="1:23" ht="32.25" customHeight="1" thickBot="1" x14ac:dyDescent="0.2">
      <c r="A57" s="110"/>
      <c r="B57" s="580"/>
      <c r="C57" s="108" t="s">
        <v>158</v>
      </c>
      <c r="D57" s="107">
        <v>9000</v>
      </c>
      <c r="E57" s="599"/>
      <c r="F57" s="602"/>
      <c r="G57" s="106">
        <v>5.7500000000000002E-2</v>
      </c>
      <c r="H57" s="114">
        <v>6.9599999999999995E-2</v>
      </c>
      <c r="I57" s="104">
        <v>0.253</v>
      </c>
      <c r="J57" s="103">
        <v>0.14399999999999999</v>
      </c>
      <c r="K57" s="102">
        <v>8.2000000000000003E-2</v>
      </c>
      <c r="L57" s="103">
        <v>5.8999999999999997E-2</v>
      </c>
      <c r="M57" s="103">
        <v>4.6699999999999998E-2</v>
      </c>
      <c r="N57" s="113">
        <v>3.9E-2</v>
      </c>
      <c r="O57" s="577"/>
      <c r="P57" s="577"/>
      <c r="Q57" s="572"/>
      <c r="S57" s="112">
        <f>ROUND(EXP(2.71-0.812*LN(T55/100)-0.654*LN(T54)),4)</f>
        <v>4.5900000000000003E-2</v>
      </c>
      <c r="T57" s="84">
        <v>37.700000000000003</v>
      </c>
      <c r="U57" s="84">
        <v>1.8700000000000001E-2</v>
      </c>
      <c r="V57" s="84">
        <f>44/12</f>
        <v>3.6666666666666665</v>
      </c>
      <c r="W57" s="111">
        <f>S57*T57*U57*V57/1000</f>
        <v>1.1864981700000004E-4</v>
      </c>
    </row>
    <row r="58" spans="1:23" ht="32.25" customHeight="1" x14ac:dyDescent="0.15">
      <c r="A58" s="110"/>
      <c r="B58" s="580"/>
      <c r="C58" s="108" t="s">
        <v>159</v>
      </c>
      <c r="D58" s="107">
        <v>11000</v>
      </c>
      <c r="E58" s="599"/>
      <c r="F58" s="602"/>
      <c r="G58" s="106">
        <v>5.04E-2</v>
      </c>
      <c r="H58" s="105">
        <v>6.0999999999999999E-2</v>
      </c>
      <c r="I58" s="104">
        <v>0.222</v>
      </c>
      <c r="J58" s="103">
        <v>0.126</v>
      </c>
      <c r="K58" s="103">
        <v>7.1900000000000006E-2</v>
      </c>
      <c r="L58" s="103">
        <v>5.1799999999999999E-2</v>
      </c>
      <c r="M58" s="102">
        <v>4.1000000000000002E-2</v>
      </c>
      <c r="N58" s="101">
        <v>3.4200000000000001E-2</v>
      </c>
      <c r="O58" s="577"/>
      <c r="P58" s="577"/>
      <c r="Q58" s="572"/>
      <c r="S58" s="100" t="s">
        <v>84</v>
      </c>
      <c r="T58" s="100" t="s">
        <v>85</v>
      </c>
      <c r="U58" s="84" t="s">
        <v>86</v>
      </c>
      <c r="W58" s="84" t="s">
        <v>87</v>
      </c>
    </row>
    <row r="59" spans="1:23" ht="32.25" customHeight="1" thickBot="1" x14ac:dyDescent="0.2">
      <c r="A59" s="99"/>
      <c r="B59" s="581"/>
      <c r="C59" s="98" t="s">
        <v>160</v>
      </c>
      <c r="D59" s="97">
        <v>14500</v>
      </c>
      <c r="E59" s="600"/>
      <c r="F59" s="603"/>
      <c r="G59" s="94">
        <v>4.2099999999999999E-2</v>
      </c>
      <c r="H59" s="93">
        <v>5.0900000000000001E-2</v>
      </c>
      <c r="I59" s="92">
        <v>0.185</v>
      </c>
      <c r="J59" s="91">
        <v>0.105</v>
      </c>
      <c r="K59" s="91">
        <v>6.0100000000000001E-2</v>
      </c>
      <c r="L59" s="91">
        <v>4.3200000000000002E-2</v>
      </c>
      <c r="M59" s="91">
        <v>3.4200000000000001E-2</v>
      </c>
      <c r="N59" s="90">
        <v>2.8500000000000001E-2</v>
      </c>
      <c r="O59" s="609"/>
      <c r="P59" s="609"/>
      <c r="Q59" s="573"/>
    </row>
    <row r="60" spans="1:23" x14ac:dyDescent="0.15">
      <c r="A60" s="88" t="s">
        <v>125</v>
      </c>
      <c r="B60" s="593" t="s">
        <v>161</v>
      </c>
      <c r="C60" s="593"/>
      <c r="D60" s="593"/>
      <c r="E60" s="593"/>
      <c r="F60" s="593"/>
      <c r="G60" s="593"/>
      <c r="H60" s="593"/>
      <c r="I60" s="593"/>
      <c r="J60" s="593"/>
      <c r="K60" s="593"/>
      <c r="L60" s="593"/>
      <c r="M60" s="593"/>
      <c r="N60" s="593"/>
      <c r="O60" s="593"/>
      <c r="P60" s="593"/>
      <c r="Q60" s="593"/>
      <c r="T60" s="86">
        <v>0</v>
      </c>
      <c r="U60" s="86">
        <v>500</v>
      </c>
    </row>
    <row r="61" spans="1:23" x14ac:dyDescent="0.15">
      <c r="A61" s="88" t="s">
        <v>162</v>
      </c>
      <c r="B61" s="592" t="s">
        <v>163</v>
      </c>
      <c r="C61" s="592"/>
      <c r="D61" s="592"/>
      <c r="E61" s="592"/>
      <c r="F61" s="592"/>
      <c r="G61" s="592"/>
      <c r="H61" s="592"/>
      <c r="I61" s="592"/>
      <c r="J61" s="592"/>
      <c r="K61" s="592"/>
      <c r="L61" s="592"/>
      <c r="M61" s="592"/>
      <c r="N61" s="592"/>
      <c r="O61" s="592"/>
      <c r="P61" s="592"/>
      <c r="Q61" s="592"/>
      <c r="T61" s="86">
        <v>1000</v>
      </c>
      <c r="U61" s="86">
        <v>1500</v>
      </c>
    </row>
    <row r="62" spans="1:23" x14ac:dyDescent="0.15">
      <c r="A62" s="89"/>
      <c r="B62" s="592"/>
      <c r="C62" s="592"/>
      <c r="D62" s="592"/>
      <c r="E62" s="592"/>
      <c r="F62" s="592"/>
      <c r="G62" s="592"/>
      <c r="H62" s="592"/>
      <c r="I62" s="592"/>
      <c r="J62" s="592"/>
      <c r="K62" s="592"/>
      <c r="L62" s="592"/>
      <c r="M62" s="592"/>
      <c r="N62" s="592"/>
      <c r="O62" s="592"/>
      <c r="P62" s="592"/>
      <c r="Q62" s="592"/>
      <c r="T62" s="86">
        <v>2000</v>
      </c>
      <c r="U62" s="86">
        <v>3000</v>
      </c>
    </row>
    <row r="63" spans="1:23" x14ac:dyDescent="0.15">
      <c r="A63" s="88" t="s">
        <v>164</v>
      </c>
      <c r="B63" s="592" t="s">
        <v>165</v>
      </c>
      <c r="C63" s="592"/>
      <c r="D63" s="592"/>
      <c r="E63" s="592"/>
      <c r="F63" s="592"/>
      <c r="G63" s="592"/>
      <c r="H63" s="592"/>
      <c r="I63" s="592"/>
      <c r="J63" s="592"/>
      <c r="K63" s="592"/>
      <c r="L63" s="592"/>
      <c r="M63" s="592"/>
      <c r="N63" s="592"/>
      <c r="O63" s="592"/>
      <c r="P63" s="592"/>
      <c r="Q63" s="592"/>
      <c r="T63" s="86">
        <v>4000</v>
      </c>
      <c r="U63" s="86">
        <v>5000</v>
      </c>
    </row>
    <row r="64" spans="1:23" x14ac:dyDescent="0.15">
      <c r="A64" s="89"/>
      <c r="B64" s="592"/>
      <c r="C64" s="592"/>
      <c r="D64" s="592"/>
      <c r="E64" s="592"/>
      <c r="F64" s="592"/>
      <c r="G64" s="592"/>
      <c r="H64" s="592"/>
      <c r="I64" s="592"/>
      <c r="J64" s="592"/>
      <c r="K64" s="592"/>
      <c r="L64" s="592"/>
      <c r="M64" s="592"/>
      <c r="N64" s="592"/>
      <c r="O64" s="592"/>
      <c r="P64" s="592"/>
      <c r="Q64" s="592"/>
      <c r="T64" s="86">
        <v>6000</v>
      </c>
      <c r="U64" s="86">
        <v>7000</v>
      </c>
    </row>
    <row r="65" spans="1:21" x14ac:dyDescent="0.15">
      <c r="A65" s="88" t="s">
        <v>166</v>
      </c>
      <c r="B65" s="592" t="s">
        <v>167</v>
      </c>
      <c r="C65" s="592"/>
      <c r="D65" s="592"/>
      <c r="E65" s="592"/>
      <c r="F65" s="592"/>
      <c r="G65" s="592"/>
      <c r="H65" s="592"/>
      <c r="I65" s="592"/>
      <c r="J65" s="592"/>
      <c r="K65" s="592"/>
      <c r="L65" s="592"/>
      <c r="M65" s="592"/>
      <c r="N65" s="592"/>
      <c r="O65" s="592"/>
      <c r="P65" s="592"/>
      <c r="Q65" s="592"/>
      <c r="T65" s="86">
        <v>8000</v>
      </c>
      <c r="U65" s="86">
        <v>9000</v>
      </c>
    </row>
    <row r="66" spans="1:21" x14ac:dyDescent="0.15">
      <c r="A66" s="89"/>
      <c r="B66" s="592" t="s">
        <v>168</v>
      </c>
      <c r="C66" s="592"/>
      <c r="D66" s="592"/>
      <c r="E66" s="592"/>
      <c r="F66" s="592"/>
      <c r="G66" s="592"/>
      <c r="H66" s="592"/>
      <c r="I66" s="592"/>
      <c r="J66" s="592"/>
      <c r="K66" s="592"/>
      <c r="L66" s="592"/>
      <c r="M66" s="592"/>
      <c r="N66" s="592"/>
      <c r="O66" s="592"/>
      <c r="P66" s="592"/>
      <c r="Q66" s="592"/>
      <c r="T66" s="86">
        <v>10000</v>
      </c>
      <c r="U66" s="86">
        <v>11000</v>
      </c>
    </row>
    <row r="67" spans="1:21" x14ac:dyDescent="0.15">
      <c r="A67" s="88" t="s">
        <v>127</v>
      </c>
      <c r="B67" s="592" t="s">
        <v>169</v>
      </c>
      <c r="C67" s="592"/>
      <c r="D67" s="592"/>
      <c r="E67" s="592"/>
      <c r="F67" s="592"/>
      <c r="G67" s="592"/>
      <c r="H67" s="592"/>
      <c r="I67" s="592"/>
      <c r="J67" s="592"/>
      <c r="K67" s="592"/>
      <c r="L67" s="592"/>
      <c r="M67" s="592"/>
      <c r="N67" s="592"/>
      <c r="O67" s="592"/>
      <c r="P67" s="592"/>
      <c r="Q67" s="592"/>
      <c r="T67" s="86">
        <v>12000</v>
      </c>
      <c r="U67" s="86">
        <v>14500</v>
      </c>
    </row>
    <row r="68" spans="1:21" x14ac:dyDescent="0.15">
      <c r="T68" s="86">
        <v>17000</v>
      </c>
    </row>
    <row r="168" spans="3:3" x14ac:dyDescent="0.15">
      <c r="C168" s="85"/>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O25"/>
  <sheetViews>
    <sheetView topLeftCell="A8" workbookViewId="0">
      <selection activeCell="V58" sqref="V58"/>
    </sheetView>
  </sheetViews>
  <sheetFormatPr defaultColWidth="9" defaultRowHeight="13.5" x14ac:dyDescent="0.15"/>
  <cols>
    <col min="1" max="1" width="16" style="27" customWidth="1"/>
    <col min="2" max="2" width="25" style="27" customWidth="1"/>
    <col min="3" max="3" width="18.75" style="27" customWidth="1"/>
    <col min="4" max="4" width="0" style="27" hidden="1" customWidth="1"/>
    <col min="5" max="5" width="14.375" style="27" hidden="1" customWidth="1"/>
    <col min="6" max="6" width="11.875" style="27" hidden="1" customWidth="1"/>
    <col min="7" max="7" width="10.125" style="27" customWidth="1"/>
    <col min="8" max="8" width="15.875" style="27" customWidth="1"/>
    <col min="9" max="9" width="38.75" style="27" customWidth="1"/>
    <col min="10" max="10" width="10.375" style="27" bestFit="1" customWidth="1"/>
    <col min="11" max="11" width="11.625" style="31" customWidth="1"/>
    <col min="12" max="12" width="11.5" style="31" customWidth="1"/>
    <col min="13" max="13" width="16.625" style="27" customWidth="1"/>
    <col min="14" max="14" width="36.75" style="207" customWidth="1"/>
    <col min="15" max="15" width="13.875" style="27" customWidth="1"/>
    <col min="16" max="16384" width="9" style="27"/>
  </cols>
  <sheetData>
    <row r="1" spans="1:15" ht="26.25" customHeight="1" x14ac:dyDescent="0.15">
      <c r="B1" s="61"/>
      <c r="C1" s="59" t="s">
        <v>22</v>
      </c>
      <c r="D1" s="60"/>
      <c r="E1" s="60"/>
      <c r="F1" s="59"/>
      <c r="H1" s="58"/>
    </row>
    <row r="2" spans="1:15" x14ac:dyDescent="0.15">
      <c r="A2" s="27" t="s">
        <v>170</v>
      </c>
      <c r="B2" s="57" t="s">
        <v>171</v>
      </c>
      <c r="C2" s="57" t="s">
        <v>172</v>
      </c>
      <c r="D2" s="57" t="s">
        <v>173</v>
      </c>
      <c r="E2" s="57" t="s">
        <v>174</v>
      </c>
      <c r="F2" s="57" t="s">
        <v>175</v>
      </c>
    </row>
    <row r="3" spans="1:15" ht="30.2" customHeight="1" x14ac:dyDescent="0.15">
      <c r="A3" s="240" t="s">
        <v>252</v>
      </c>
      <c r="B3" s="302" t="s">
        <v>237</v>
      </c>
      <c r="C3" s="303">
        <v>2.5499999999999998</v>
      </c>
      <c r="D3" s="304"/>
      <c r="E3" s="51"/>
      <c r="F3" s="50"/>
    </row>
    <row r="4" spans="1:15" ht="30.2" customHeight="1" x14ac:dyDescent="0.15">
      <c r="A4" s="240"/>
      <c r="B4" s="302" t="s">
        <v>294</v>
      </c>
      <c r="C4" s="306">
        <f>K6</f>
        <v>33.9</v>
      </c>
      <c r="D4" s="304"/>
      <c r="E4" s="51"/>
      <c r="F4" s="50"/>
      <c r="H4" s="308" t="s">
        <v>245</v>
      </c>
      <c r="I4" s="309" t="s">
        <v>246</v>
      </c>
      <c r="J4" s="310">
        <v>20.3</v>
      </c>
      <c r="M4" s="301" t="s">
        <v>239</v>
      </c>
      <c r="N4" s="301" t="s">
        <v>240</v>
      </c>
      <c r="O4" s="399">
        <v>7.5627731648684289E-4</v>
      </c>
    </row>
    <row r="5" spans="1:15" ht="30.2" customHeight="1" x14ac:dyDescent="0.15">
      <c r="A5" s="240"/>
      <c r="B5" s="302" t="s">
        <v>295</v>
      </c>
      <c r="C5" s="305">
        <f>K12</f>
        <v>7.1699999999999982</v>
      </c>
      <c r="D5" s="304"/>
      <c r="E5" s="51"/>
      <c r="F5" s="50"/>
      <c r="H5" s="308" t="s">
        <v>251</v>
      </c>
      <c r="I5" s="311" t="s">
        <v>262</v>
      </c>
      <c r="J5" s="310">
        <v>14.9</v>
      </c>
      <c r="K5" s="155"/>
      <c r="M5" s="301" t="s">
        <v>241</v>
      </c>
      <c r="N5" s="301" t="s">
        <v>242</v>
      </c>
      <c r="O5" s="399">
        <v>9.6634691275062365E-4</v>
      </c>
    </row>
    <row r="6" spans="1:15" ht="30.2" customHeight="1" x14ac:dyDescent="0.15">
      <c r="A6" s="240" t="s">
        <v>256</v>
      </c>
      <c r="B6" s="302" t="s">
        <v>306</v>
      </c>
      <c r="C6" s="394">
        <v>389</v>
      </c>
      <c r="D6" s="304"/>
      <c r="E6" s="51"/>
      <c r="F6" s="50"/>
      <c r="H6" s="308" t="s">
        <v>249</v>
      </c>
      <c r="I6" s="309" t="s">
        <v>250</v>
      </c>
      <c r="J6" s="310">
        <v>1.23</v>
      </c>
      <c r="K6" s="405">
        <f>ROUNDDOWN(J4+J5-J6,1)</f>
        <v>33.9</v>
      </c>
      <c r="L6" s="155" t="s">
        <v>323</v>
      </c>
      <c r="M6" s="301" t="s">
        <v>243</v>
      </c>
      <c r="N6" s="301" t="s">
        <v>244</v>
      </c>
      <c r="O6" s="400">
        <v>1.3474427162747256</v>
      </c>
    </row>
    <row r="7" spans="1:15" ht="30.2" customHeight="1" x14ac:dyDescent="0.15">
      <c r="A7" s="308"/>
      <c r="B7" s="302" t="s">
        <v>307</v>
      </c>
      <c r="C7" s="395">
        <v>15700</v>
      </c>
      <c r="D7" s="52"/>
      <c r="E7" s="51"/>
      <c r="F7" s="50"/>
      <c r="M7" s="301" t="s">
        <v>235</v>
      </c>
      <c r="N7" s="301" t="s">
        <v>236</v>
      </c>
      <c r="O7" s="399">
        <v>8.1523859249330819</v>
      </c>
    </row>
    <row r="8" spans="1:15" ht="30.2" customHeight="1" x14ac:dyDescent="0.15">
      <c r="B8" s="55" t="s">
        <v>326</v>
      </c>
      <c r="C8" s="395">
        <f>K22</f>
        <v>14400</v>
      </c>
      <c r="D8" s="52"/>
      <c r="E8" s="51"/>
      <c r="F8" s="50"/>
      <c r="H8" s="308" t="s">
        <v>252</v>
      </c>
      <c r="I8" s="309" t="s">
        <v>253</v>
      </c>
      <c r="J8" s="310">
        <v>2.5499999999999998</v>
      </c>
      <c r="M8" s="401" t="s">
        <v>254</v>
      </c>
      <c r="N8" s="309" t="s">
        <v>255</v>
      </c>
      <c r="O8" s="397">
        <v>6.7000000000000002E-3</v>
      </c>
    </row>
    <row r="9" spans="1:15" ht="30.2" customHeight="1" x14ac:dyDescent="0.15">
      <c r="B9" s="55" t="s">
        <v>324</v>
      </c>
      <c r="C9" s="395">
        <f>K22</f>
        <v>14400</v>
      </c>
      <c r="D9" s="52"/>
      <c r="E9" s="51"/>
      <c r="F9" s="50"/>
      <c r="M9" s="401" t="s">
        <v>256</v>
      </c>
      <c r="N9" s="309" t="s">
        <v>257</v>
      </c>
      <c r="O9" s="310">
        <v>0.52</v>
      </c>
    </row>
    <row r="10" spans="1:15" ht="30.2" customHeight="1" x14ac:dyDescent="0.15">
      <c r="B10" s="53" t="s">
        <v>325</v>
      </c>
      <c r="C10" s="396">
        <f>K19</f>
        <v>58.5</v>
      </c>
      <c r="D10" s="52"/>
      <c r="E10" s="51"/>
      <c r="F10" s="50"/>
      <c r="H10" s="308" t="s">
        <v>258</v>
      </c>
      <c r="I10" s="309" t="s">
        <v>259</v>
      </c>
      <c r="J10" s="310">
        <v>4.25</v>
      </c>
      <c r="N10" s="27"/>
      <c r="O10" s="207"/>
    </row>
    <row r="11" spans="1:15" ht="30.2" customHeight="1" x14ac:dyDescent="0.15">
      <c r="B11" s="53"/>
      <c r="C11" s="52"/>
      <c r="D11" s="52"/>
      <c r="E11" s="51"/>
      <c r="F11" s="50"/>
      <c r="H11" s="308" t="s">
        <v>260</v>
      </c>
      <c r="I11" s="301" t="s">
        <v>261</v>
      </c>
      <c r="J11" s="310">
        <v>5.31</v>
      </c>
    </row>
    <row r="12" spans="1:15" ht="30.2" customHeight="1" x14ac:dyDescent="0.15">
      <c r="B12" s="53"/>
      <c r="C12" s="52"/>
      <c r="D12" s="52"/>
      <c r="E12" s="51"/>
      <c r="F12" s="50"/>
      <c r="H12" s="308" t="s">
        <v>247</v>
      </c>
      <c r="I12" s="309" t="s">
        <v>248</v>
      </c>
      <c r="J12" s="310">
        <v>2.39</v>
      </c>
      <c r="K12" s="398">
        <f>J10+J11-J12</f>
        <v>7.1699999999999982</v>
      </c>
      <c r="L12" s="155" t="s">
        <v>322</v>
      </c>
    </row>
    <row r="13" spans="1:15" ht="30.2" customHeight="1" x14ac:dyDescent="0.15">
      <c r="B13" s="53"/>
      <c r="C13" s="52"/>
      <c r="D13" s="52"/>
      <c r="E13" s="51"/>
      <c r="F13" s="50"/>
    </row>
    <row r="14" spans="1:15" ht="30.2" customHeight="1" x14ac:dyDescent="0.15">
      <c r="B14" s="53"/>
      <c r="C14" s="52"/>
      <c r="D14" s="52"/>
      <c r="E14" s="51"/>
      <c r="F14" s="50"/>
      <c r="H14" s="301" t="s">
        <v>308</v>
      </c>
      <c r="I14" s="301" t="s">
        <v>309</v>
      </c>
      <c r="J14" s="402">
        <v>18070</v>
      </c>
    </row>
    <row r="15" spans="1:15" ht="30.2" customHeight="1" x14ac:dyDescent="0.15">
      <c r="A15" s="54"/>
      <c r="B15" s="53"/>
      <c r="C15" s="52"/>
      <c r="D15" s="52"/>
      <c r="E15" s="51"/>
      <c r="F15" s="50"/>
      <c r="H15" s="301" t="s">
        <v>310</v>
      </c>
      <c r="I15" s="301" t="s">
        <v>311</v>
      </c>
      <c r="J15" s="403">
        <v>40</v>
      </c>
      <c r="K15" s="404">
        <f>ROUNDDOWN(J14-J15,0)</f>
        <v>18030</v>
      </c>
      <c r="L15" s="155" t="s">
        <v>321</v>
      </c>
    </row>
    <row r="16" spans="1:15" ht="30.2" customHeight="1" x14ac:dyDescent="0.15">
      <c r="A16" s="54"/>
      <c r="B16" s="53"/>
      <c r="C16" s="52"/>
      <c r="D16" s="52"/>
      <c r="E16" s="51"/>
      <c r="F16" s="50"/>
    </row>
    <row r="17" spans="1:13" ht="30.2" customHeight="1" x14ac:dyDescent="0.15">
      <c r="A17" s="54"/>
      <c r="B17" s="53"/>
      <c r="C17" s="52"/>
      <c r="D17" s="52"/>
      <c r="E17" s="51"/>
      <c r="F17" s="50"/>
      <c r="H17" s="301" t="s">
        <v>312</v>
      </c>
      <c r="I17" s="301" t="s">
        <v>313</v>
      </c>
      <c r="J17" s="406">
        <v>78</v>
      </c>
      <c r="L17" s="155" t="s">
        <v>80</v>
      </c>
    </row>
    <row r="18" spans="1:13" ht="30.2" customHeight="1" x14ac:dyDescent="0.15">
      <c r="A18" s="54"/>
      <c r="B18" s="53"/>
      <c r="C18" s="52"/>
      <c r="D18" s="52"/>
      <c r="E18" s="51"/>
      <c r="F18" s="50"/>
      <c r="H18" s="301" t="s">
        <v>314</v>
      </c>
      <c r="I18" s="301" t="s">
        <v>315</v>
      </c>
      <c r="J18" s="35">
        <v>20.100000000000001</v>
      </c>
      <c r="K18" s="409">
        <f>J18*L18</f>
        <v>28.14</v>
      </c>
      <c r="L18" s="31">
        <v>1.4</v>
      </c>
    </row>
    <row r="19" spans="1:13" ht="30.2" customHeight="1" x14ac:dyDescent="0.15">
      <c r="A19" s="54"/>
      <c r="B19" s="53"/>
      <c r="C19" s="52"/>
      <c r="D19" s="52"/>
      <c r="E19" s="51"/>
      <c r="F19" s="50"/>
      <c r="H19" s="301" t="s">
        <v>316</v>
      </c>
      <c r="I19" s="301" t="s">
        <v>317</v>
      </c>
      <c r="J19" s="35">
        <v>30.4</v>
      </c>
      <c r="K19" s="407">
        <f>ROUNDDOWN(K18+J19,1)</f>
        <v>58.5</v>
      </c>
      <c r="L19" s="155" t="s">
        <v>320</v>
      </c>
    </row>
    <row r="20" spans="1:13" ht="33.75" customHeight="1" x14ac:dyDescent="0.15"/>
    <row r="21" spans="1:13" ht="30.75" customHeight="1" x14ac:dyDescent="0.15">
      <c r="A21" s="49"/>
      <c r="B21" s="48"/>
      <c r="D21" s="47"/>
      <c r="L21" s="155" t="s">
        <v>80</v>
      </c>
    </row>
    <row r="22" spans="1:13" ht="33.75" customHeight="1" x14ac:dyDescent="0.15">
      <c r="A22" s="49"/>
      <c r="B22" s="48"/>
      <c r="D22" s="47"/>
      <c r="H22" s="301" t="s">
        <v>318</v>
      </c>
      <c r="I22" s="301" t="s">
        <v>319</v>
      </c>
      <c r="J22" s="35">
        <v>1.44</v>
      </c>
      <c r="K22" s="410">
        <f>J22*L22</f>
        <v>14400</v>
      </c>
      <c r="L22" s="408">
        <v>10000</v>
      </c>
      <c r="M22" s="27" t="s">
        <v>332</v>
      </c>
    </row>
    <row r="24" spans="1:13" ht="14.25" x14ac:dyDescent="0.15">
      <c r="H24" s="301" t="s">
        <v>327</v>
      </c>
      <c r="I24" s="311" t="s">
        <v>328</v>
      </c>
      <c r="J24" s="411">
        <v>0.3155</v>
      </c>
      <c r="K24" s="408">
        <f>ROUNDDOWN(J24*L24,-2)</f>
        <v>15700</v>
      </c>
      <c r="L24" s="412">
        <v>50000</v>
      </c>
      <c r="M24" s="27" t="s">
        <v>330</v>
      </c>
    </row>
    <row r="25" spans="1:13" x14ac:dyDescent="0.15">
      <c r="I25" s="27" t="s">
        <v>329</v>
      </c>
      <c r="K25" s="408">
        <f>ROUNDDOWN(J24*L24*L25,-1)</f>
        <v>1050</v>
      </c>
      <c r="L25" s="31">
        <f>1/15</f>
        <v>6.6666666666666666E-2</v>
      </c>
      <c r="M25" s="27" t="s">
        <v>331</v>
      </c>
    </row>
  </sheetData>
  <phoneticPr fontId="2"/>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J37"/>
  <sheetViews>
    <sheetView topLeftCell="A18" workbookViewId="0">
      <selection activeCell="V58" sqref="V58"/>
    </sheetView>
  </sheetViews>
  <sheetFormatPr defaultColWidth="9" defaultRowHeight="13.5" x14ac:dyDescent="0.15"/>
  <cols>
    <col min="1" max="1" width="17.75" style="62" customWidth="1"/>
    <col min="2" max="2" width="42.125" style="62" customWidth="1"/>
    <col min="3" max="3" width="7.75" style="62" customWidth="1"/>
    <col min="4" max="5" width="17.75" style="62" customWidth="1"/>
    <col min="6" max="16384" width="9" style="62"/>
  </cols>
  <sheetData>
    <row r="1" spans="1:9" ht="36.75" customHeight="1" x14ac:dyDescent="0.15">
      <c r="A1" s="76" t="s">
        <v>176</v>
      </c>
      <c r="B1" s="76" t="s">
        <v>24</v>
      </c>
      <c r="C1" s="75" t="s">
        <v>177</v>
      </c>
      <c r="D1" s="74" t="s">
        <v>178</v>
      </c>
    </row>
    <row r="2" spans="1:9" ht="30" customHeight="1" x14ac:dyDescent="0.15">
      <c r="A2" s="79" t="s">
        <v>280</v>
      </c>
      <c r="B2" s="71" t="s">
        <v>179</v>
      </c>
      <c r="C2" s="72" t="s">
        <v>180</v>
      </c>
      <c r="D2" s="71">
        <v>0.35199999999999998</v>
      </c>
      <c r="E2" s="62" t="s">
        <v>181</v>
      </c>
    </row>
    <row r="3" spans="1:9" ht="30" customHeight="1" x14ac:dyDescent="0.15">
      <c r="A3" s="79" t="s">
        <v>281</v>
      </c>
      <c r="B3" s="71" t="s">
        <v>182</v>
      </c>
      <c r="C3" s="72" t="s">
        <v>180</v>
      </c>
      <c r="D3" s="71">
        <v>0.62</v>
      </c>
      <c r="E3" s="62" t="s">
        <v>181</v>
      </c>
    </row>
    <row r="4" spans="1:9" ht="30" customHeight="1" x14ac:dyDescent="0.15">
      <c r="A4" s="71" t="s">
        <v>282</v>
      </c>
      <c r="B4" s="71" t="s">
        <v>183</v>
      </c>
      <c r="C4" s="72" t="s">
        <v>180</v>
      </c>
      <c r="D4" s="71">
        <v>0.193</v>
      </c>
      <c r="E4" s="62" t="s">
        <v>181</v>
      </c>
    </row>
    <row r="5" spans="1:9" ht="30" customHeight="1" x14ac:dyDescent="0.15">
      <c r="A5" s="71" t="s">
        <v>283</v>
      </c>
      <c r="B5" s="71" t="s">
        <v>184</v>
      </c>
      <c r="C5" s="72" t="s">
        <v>180</v>
      </c>
      <c r="D5" s="71">
        <v>0.33900000000000002</v>
      </c>
      <c r="E5" s="62" t="s">
        <v>181</v>
      </c>
    </row>
    <row r="8" spans="1:9" x14ac:dyDescent="0.15">
      <c r="F8" s="80" t="s">
        <v>263</v>
      </c>
      <c r="G8" s="80" t="s">
        <v>270</v>
      </c>
      <c r="H8" s="72" t="s">
        <v>185</v>
      </c>
      <c r="I8" s="74">
        <v>0.432</v>
      </c>
    </row>
    <row r="9" spans="1:9" ht="40.5" customHeight="1" x14ac:dyDescent="0.15">
      <c r="A9" s="76" t="s">
        <v>176</v>
      </c>
      <c r="B9" s="76" t="s">
        <v>24</v>
      </c>
      <c r="C9" s="75" t="s">
        <v>177</v>
      </c>
      <c r="D9" s="74" t="s">
        <v>178</v>
      </c>
    </row>
    <row r="10" spans="1:9" ht="40.5" customHeight="1" x14ac:dyDescent="0.15">
      <c r="A10" s="80"/>
      <c r="B10" s="80" t="s">
        <v>296</v>
      </c>
      <c r="C10" s="72" t="s">
        <v>185</v>
      </c>
      <c r="D10" s="74">
        <v>0.35</v>
      </c>
      <c r="E10" s="62" t="s">
        <v>181</v>
      </c>
      <c r="F10" s="62" t="s">
        <v>288</v>
      </c>
      <c r="H10" s="62">
        <v>0.35</v>
      </c>
    </row>
    <row r="11" spans="1:9" ht="40.5" customHeight="1" x14ac:dyDescent="0.15">
      <c r="A11" s="79" t="s">
        <v>264</v>
      </c>
      <c r="B11" s="71" t="s">
        <v>297</v>
      </c>
      <c r="C11" s="72" t="s">
        <v>185</v>
      </c>
      <c r="D11" s="71">
        <v>0.193</v>
      </c>
      <c r="E11" s="62" t="s">
        <v>181</v>
      </c>
    </row>
    <row r="12" spans="1:9" ht="40.5" customHeight="1" x14ac:dyDescent="0.15">
      <c r="A12" s="79" t="s">
        <v>265</v>
      </c>
      <c r="B12" s="71" t="s">
        <v>298</v>
      </c>
      <c r="C12" s="72" t="s">
        <v>185</v>
      </c>
      <c r="D12" s="71">
        <v>1.1000000000000001</v>
      </c>
      <c r="E12" s="62" t="s">
        <v>181</v>
      </c>
    </row>
    <row r="13" spans="1:9" ht="40.5" customHeight="1" x14ac:dyDescent="0.15">
      <c r="A13" s="79" t="s">
        <v>254</v>
      </c>
      <c r="B13" s="71" t="s">
        <v>299</v>
      </c>
      <c r="C13" s="72" t="s">
        <v>185</v>
      </c>
      <c r="D13" s="71">
        <v>6.7000000000000002E-3</v>
      </c>
      <c r="E13" s="62" t="s">
        <v>181</v>
      </c>
    </row>
    <row r="14" spans="1:9" ht="40.5" customHeight="1" x14ac:dyDescent="0.15">
      <c r="A14" s="79" t="s">
        <v>267</v>
      </c>
      <c r="B14" s="71" t="s">
        <v>300</v>
      </c>
      <c r="C14" s="72" t="s">
        <v>186</v>
      </c>
      <c r="D14" s="71">
        <v>0.33600000000000002</v>
      </c>
      <c r="E14" s="62" t="s">
        <v>181</v>
      </c>
    </row>
    <row r="15" spans="1:9" ht="41.25" customHeight="1" x14ac:dyDescent="0.15">
      <c r="A15" s="79" t="s">
        <v>268</v>
      </c>
      <c r="B15" s="71" t="s">
        <v>301</v>
      </c>
      <c r="C15" s="72" t="s">
        <v>186</v>
      </c>
      <c r="D15" s="71">
        <v>1.99</v>
      </c>
      <c r="E15" s="62" t="s">
        <v>181</v>
      </c>
    </row>
    <row r="16" spans="1:9" ht="41.25" customHeight="1" x14ac:dyDescent="0.15">
      <c r="A16" s="79" t="s">
        <v>269</v>
      </c>
      <c r="B16" s="71" t="s">
        <v>302</v>
      </c>
      <c r="C16" s="72" t="s">
        <v>186</v>
      </c>
      <c r="D16" s="71">
        <v>0.51100000000000001</v>
      </c>
      <c r="E16" s="62" t="s">
        <v>181</v>
      </c>
    </row>
    <row r="17" spans="1:10" ht="41.25" customHeight="1" x14ac:dyDescent="0.15">
      <c r="A17" s="71" t="s">
        <v>266</v>
      </c>
      <c r="B17" s="71" t="s">
        <v>303</v>
      </c>
      <c r="C17" s="72" t="s">
        <v>185</v>
      </c>
      <c r="D17" s="71">
        <v>1.99</v>
      </c>
      <c r="E17" s="62" t="s">
        <v>181</v>
      </c>
      <c r="G17" s="308"/>
      <c r="H17" s="35" t="s">
        <v>290</v>
      </c>
      <c r="I17" s="34" t="s">
        <v>289</v>
      </c>
      <c r="J17" s="35">
        <v>2.99</v>
      </c>
    </row>
    <row r="18" spans="1:10" ht="41.25" customHeight="1" x14ac:dyDescent="0.15">
      <c r="A18" s="301"/>
      <c r="B18" s="35" t="s">
        <v>304</v>
      </c>
      <c r="C18" s="34" t="s">
        <v>289</v>
      </c>
      <c r="D18" s="35">
        <v>8.9999999999999993E-3</v>
      </c>
      <c r="E18" s="62" t="s">
        <v>181</v>
      </c>
      <c r="G18" s="35"/>
      <c r="H18" s="35" t="s">
        <v>291</v>
      </c>
      <c r="I18" s="34" t="s">
        <v>289</v>
      </c>
      <c r="J18" s="78">
        <v>-0.94</v>
      </c>
    </row>
    <row r="19" spans="1:10" ht="21.75" customHeight="1" x14ac:dyDescent="0.15">
      <c r="C19" s="77"/>
    </row>
    <row r="20" spans="1:10" ht="40.5" customHeight="1" x14ac:dyDescent="0.15">
      <c r="A20" s="76" t="s">
        <v>187</v>
      </c>
      <c r="B20" s="76" t="s">
        <v>24</v>
      </c>
      <c r="C20" s="75" t="s">
        <v>177</v>
      </c>
      <c r="D20" s="74" t="s">
        <v>178</v>
      </c>
    </row>
    <row r="21" spans="1:10" ht="43.5" customHeight="1" x14ac:dyDescent="0.15">
      <c r="A21" s="73" t="s">
        <v>284</v>
      </c>
      <c r="B21" s="71" t="s">
        <v>305</v>
      </c>
      <c r="C21" s="72" t="s">
        <v>188</v>
      </c>
      <c r="D21" s="71">
        <v>0.441</v>
      </c>
    </row>
    <row r="22" spans="1:10" s="27" customFormat="1" ht="38.25" customHeight="1" x14ac:dyDescent="0.15">
      <c r="A22" s="35"/>
      <c r="B22" s="35" t="s">
        <v>189</v>
      </c>
      <c r="C22" s="34" t="s">
        <v>190</v>
      </c>
      <c r="D22" s="70">
        <f>D31/1000</f>
        <v>38.299999999999997</v>
      </c>
      <c r="E22" s="69">
        <f>ROUND((D22*0.2)*1000/3600*D21,2)</f>
        <v>0.94</v>
      </c>
    </row>
    <row r="23" spans="1:10" s="27" customFormat="1" ht="39" customHeight="1" x14ac:dyDescent="0.15">
      <c r="A23" s="35"/>
      <c r="B23" s="35" t="s">
        <v>191</v>
      </c>
      <c r="C23" s="34" t="s">
        <v>192</v>
      </c>
      <c r="D23" s="35"/>
      <c r="E23" s="68">
        <f>C31</f>
        <v>2.99</v>
      </c>
    </row>
    <row r="25" spans="1:10" s="27" customFormat="1" x14ac:dyDescent="0.15">
      <c r="A25" s="57" t="s">
        <v>24</v>
      </c>
      <c r="B25" s="57" t="s">
        <v>172</v>
      </c>
      <c r="C25" s="57" t="s">
        <v>173</v>
      </c>
      <c r="D25" s="57" t="s">
        <v>175</v>
      </c>
      <c r="E25" s="67"/>
    </row>
    <row r="26" spans="1:10" s="27" customFormat="1" ht="29.25" customHeight="1" x14ac:dyDescent="0.15">
      <c r="A26" s="55" t="s">
        <v>271</v>
      </c>
      <c r="B26" s="52">
        <v>2.02</v>
      </c>
      <c r="C26" s="52">
        <v>3.14</v>
      </c>
      <c r="D26" s="50">
        <v>46000</v>
      </c>
    </row>
    <row r="27" spans="1:10" s="27" customFormat="1" ht="29.25" customHeight="1" x14ac:dyDescent="0.15">
      <c r="A27" s="55" t="s">
        <v>272</v>
      </c>
      <c r="B27" s="52">
        <v>1.96</v>
      </c>
      <c r="C27" s="52">
        <v>3.14</v>
      </c>
      <c r="D27" s="50">
        <v>46000</v>
      </c>
    </row>
    <row r="28" spans="1:10" s="27" customFormat="1" ht="29.25" customHeight="1" x14ac:dyDescent="0.15">
      <c r="A28" s="55" t="s">
        <v>273</v>
      </c>
      <c r="B28" s="52">
        <v>2.0099999999999998</v>
      </c>
      <c r="C28" s="52">
        <v>3.14</v>
      </c>
      <c r="D28" s="50">
        <v>44000</v>
      </c>
    </row>
    <row r="29" spans="1:10" s="27" customFormat="1" ht="29.25" customHeight="1" x14ac:dyDescent="0.15">
      <c r="A29" s="55" t="s">
        <v>274</v>
      </c>
      <c r="B29" s="56">
        <v>3.05</v>
      </c>
      <c r="C29" s="52">
        <v>3.39</v>
      </c>
      <c r="D29" s="50">
        <v>40200</v>
      </c>
    </row>
    <row r="30" spans="1:10" s="27" customFormat="1" ht="29.25" customHeight="1" x14ac:dyDescent="0.15">
      <c r="A30" s="55" t="s">
        <v>275</v>
      </c>
      <c r="B30" s="52">
        <v>3.2</v>
      </c>
      <c r="C30" s="52">
        <v>2.29</v>
      </c>
      <c r="D30" s="50">
        <v>23000</v>
      </c>
    </row>
    <row r="31" spans="1:10" s="27" customFormat="1" ht="27" customHeight="1" x14ac:dyDescent="0.15">
      <c r="A31" s="35" t="s">
        <v>276</v>
      </c>
      <c r="B31" s="66">
        <v>0.94</v>
      </c>
      <c r="C31" s="65">
        <v>2.99</v>
      </c>
      <c r="D31" s="64">
        <v>38300</v>
      </c>
      <c r="F31" s="63"/>
    </row>
    <row r="32" spans="1:10" s="27" customFormat="1" ht="33.75" customHeight="1" x14ac:dyDescent="0.15">
      <c r="B32" s="68">
        <f>ROUND(AVERAGE(B26:B28),2)</f>
        <v>2</v>
      </c>
      <c r="C32" s="27">
        <v>0.16900000000000001</v>
      </c>
      <c r="D32" s="27">
        <f>B32*C32</f>
        <v>0.33800000000000002</v>
      </c>
    </row>
    <row r="33" s="27" customFormat="1" x14ac:dyDescent="0.15"/>
    <row r="34" s="27" customFormat="1" x14ac:dyDescent="0.15"/>
    <row r="35" s="27" customFormat="1" x14ac:dyDescent="0.15"/>
    <row r="36" s="27" customFormat="1" x14ac:dyDescent="0.15"/>
    <row r="37" s="27" customFormat="1" x14ac:dyDescent="0.15"/>
  </sheetData>
  <phoneticPr fontId="2"/>
  <hyperlinks>
    <hyperlink ref="A21" r:id="rId1" xr:uid="{CEE01DDB-DB5E-43C5-93B2-73C46585B079}"/>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915FD-AA74-4F7D-8FEF-E407FCB58305}">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2abbde8-7c96-4869-bcb4-8a81eb61e5a7"/>
    <ds:schemaRef ds:uri="981654af-8ba2-4af6-acb2-b028c310f3c4"/>
    <ds:schemaRef ds:uri="http://www.w3.org/XML/1998/namespace"/>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49E047AB-0E16-4AF2-9C5C-A53144B902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原単位!Print_Area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齊藤 和世</cp:lastModifiedBy>
  <cp:revision/>
  <cp:lastPrinted>2024-06-23T13:04:02Z</cp:lastPrinted>
  <dcterms:created xsi:type="dcterms:W3CDTF">2019-01-24T06:21:46Z</dcterms:created>
  <dcterms:modified xsi:type="dcterms:W3CDTF">2024-06-24T01:15:45Z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