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新しいHP/"/>
    </mc:Choice>
  </mc:AlternateContent>
  <xr:revisionPtr revIDLastSave="160" documentId="8_{B25EB288-D4F7-43FC-B169-F407DEDFFC76}" xr6:coauthVersionLast="47" xr6:coauthVersionMax="47" xr10:uidLastSave="{D9BAAF49-F636-4D61-B0C4-E23861CB9926}"/>
  <workbookProtection workbookAlgorithmName="SHA-512" workbookHashValue="ifQjGhSt14L/SnM/iHtPcV8v/mzCkRCA+rFJ9FZ1XhjSfOwReOkgFeHCpacfOV57UOep5fhd/tOdrtMPwrN1uA==" workbookSaltValue="x9QBJMMDItW6bI8i5uG/iQ==" workbookSpinCount="100000" lockStructure="1"/>
  <bookViews>
    <workbookView xWindow="-120" yWindow="-120" windowWidth="29040" windowHeight="15840" xr2:uid="{00000000-000D-0000-FFFF-FFFF00000000}"/>
  </bookViews>
  <sheets>
    <sheet name="入力シート" sheetId="9" r:id="rId1"/>
    <sheet name="CO2削減量及び費用対効果" sheetId="19" r:id="rId2"/>
    <sheet name="CO2削減量及び費用対効果(2)" sheetId="1" r:id="rId3"/>
    <sheet name="電力計算部" sheetId="16" r:id="rId4"/>
    <sheet name="設備機器一覧表" sheetId="18" r:id="rId5"/>
    <sheet name="輸送【トンキロ法】参考" sheetId="14" state="hidden" r:id="rId6"/>
    <sheet name="原単位" sheetId="12" state="hidden" r:id="rId7"/>
    <sheet name="入出力データ" sheetId="13" state="hidden" r:id="rId8"/>
  </sheets>
  <externalReferences>
    <externalReference r:id="rId9"/>
    <externalReference r:id="rId10"/>
  </externalReferences>
  <definedNames>
    <definedName name="_Key1" localSheetId="3" hidden="1">#REF!</definedName>
    <definedName name="_Key1" hidden="1">#REF!</definedName>
    <definedName name="_Order1" hidden="1">0</definedName>
    <definedName name="_Order2" hidden="1">0</definedName>
    <definedName name="_Sort" localSheetId="3" hidden="1">#REF!</definedName>
    <definedName name="_Sort" hidden="1">#REF!</definedName>
    <definedName name="_ueue" hidden="1">[1]鉄鋼業データ!$C$3:$C$27</definedName>
    <definedName name="AS2DocOpenMode" hidden="1">"AS2DocumentEdit"</definedName>
    <definedName name="CBWorkbookPriority" hidden="1">-206570108</definedName>
    <definedName name="_xlnm.Print_Area" localSheetId="1">CO2削減量及び費用対効果!$A$1:$O$35</definedName>
    <definedName name="_xlnm.Print_Area" localSheetId="2">'CO2削減量及び費用対効果(2)'!$A$1:$O$36</definedName>
    <definedName name="_xlnm.Print_Area" localSheetId="4">設備機器一覧表!$A$1:$O$27</definedName>
    <definedName name="_xlnm.Print_Area" localSheetId="3">電力計算部!$A$1:$L$53</definedName>
    <definedName name="_xlnm.Print_Area" localSheetId="0">入力シート!$A$1:$J$56,入力シート!$O$57:$Y$167</definedName>
    <definedName name="_xlnm.Print_Area" localSheetId="5">輸送【トンキロ法】参考!$A$1:$Q$67</definedName>
    <definedName name="Z_0111E7B5_3E0B_11D4_8303_000102284B93_.wvu.PrintArea" localSheetId="6" hidden="1">#REF!</definedName>
    <definedName name="Z_0111E7B5_3E0B_11D4_8303_000102284B93_.wvu.PrintArea" localSheetId="3" hidden="1">#REF!</definedName>
    <definedName name="Z_0111E7B5_3E0B_11D4_8303_000102284B93_.wvu.PrintArea" hidden="1">#REF!</definedName>
    <definedName name="Z_011E7B5_3E0B_11D4_8303_000102284B94" localSheetId="6" hidden="1">#REF!</definedName>
    <definedName name="Z_011E7B5_3E0B_11D4_8303_000102284B94" localSheetId="3"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原単位表">原単位!$B$3:$F$29</definedName>
    <definedName name="素材名">原単位!$B$3:$B$29</definedName>
    <definedName name="入力">[2]原単位!$B$3:$B$19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9" l="1"/>
  <c r="Z144" i="9"/>
  <c r="Z136" i="9"/>
  <c r="Z74" i="9"/>
  <c r="Z73" i="9"/>
  <c r="Z63" i="9"/>
  <c r="AG65" i="9"/>
  <c r="C39" i="13"/>
  <c r="K1" i="16" l="1"/>
  <c r="F12" i="19"/>
  <c r="F11" i="19"/>
  <c r="F10" i="19"/>
  <c r="F9" i="19"/>
  <c r="F8" i="19"/>
  <c r="C12" i="1"/>
  <c r="C11" i="1"/>
  <c r="C10" i="1"/>
  <c r="C9" i="1"/>
  <c r="C8" i="1"/>
  <c r="C7" i="1"/>
  <c r="C7" i="19"/>
  <c r="F7" i="19" l="1"/>
  <c r="F13" i="19" s="1"/>
  <c r="G34" i="19" s="1"/>
  <c r="C12" i="19"/>
  <c r="C11" i="19"/>
  <c r="C10" i="19"/>
  <c r="C9" i="19"/>
  <c r="C8" i="19"/>
  <c r="AH104" i="19"/>
  <c r="AH103" i="19"/>
  <c r="AH102" i="19"/>
  <c r="AH101" i="19"/>
  <c r="AH100" i="19"/>
  <c r="AH99" i="19"/>
  <c r="AH98" i="19"/>
  <c r="AH97" i="19"/>
  <c r="AH96" i="19"/>
  <c r="AH95" i="19"/>
  <c r="AH94" i="19"/>
  <c r="AH93" i="19"/>
  <c r="AH92" i="19"/>
  <c r="AH91" i="19"/>
  <c r="AH90" i="19"/>
  <c r="AH89" i="19"/>
  <c r="AH88" i="19"/>
  <c r="E30" i="19"/>
  <c r="G33" i="19"/>
  <c r="N20" i="19"/>
  <c r="B39" i="13"/>
  <c r="F11" i="1"/>
  <c r="M11" i="1" s="1"/>
  <c r="F12" i="1"/>
  <c r="F10" i="1"/>
  <c r="F9" i="1"/>
  <c r="F8" i="1"/>
  <c r="M8" i="1" s="1"/>
  <c r="F7" i="1"/>
  <c r="K12" i="1"/>
  <c r="K11" i="1"/>
  <c r="K10" i="1"/>
  <c r="K9" i="1"/>
  <c r="K8" i="1"/>
  <c r="H12" i="1"/>
  <c r="H11" i="1"/>
  <c r="H10" i="1"/>
  <c r="H9" i="1"/>
  <c r="H8" i="1"/>
  <c r="K7" i="1"/>
  <c r="H7" i="1"/>
  <c r="K13" i="1" l="1"/>
  <c r="M10" i="1"/>
  <c r="M9" i="1"/>
  <c r="M12" i="1"/>
  <c r="M7" i="1"/>
  <c r="F13" i="1"/>
  <c r="K29" i="12"/>
  <c r="D28" i="12" s="1"/>
  <c r="F28" i="12"/>
  <c r="G28" i="12" s="1"/>
  <c r="E28" i="12" s="1"/>
  <c r="D40" i="13"/>
  <c r="I26" i="13"/>
  <c r="F30" i="13"/>
  <c r="L24" i="13"/>
  <c r="H22" i="13"/>
  <c r="L22" i="13"/>
  <c r="L23" i="13" s="1"/>
  <c r="G14" i="12"/>
  <c r="K22" i="13" s="1"/>
  <c r="N24" i="12"/>
  <c r="K24" i="12"/>
  <c r="L24" i="12"/>
  <c r="L26" i="12"/>
  <c r="Q25" i="13"/>
  <c r="O22" i="13"/>
  <c r="H18" i="13"/>
  <c r="H21" i="13"/>
  <c r="H20" i="13"/>
  <c r="H19" i="13"/>
  <c r="S22" i="13"/>
  <c r="H31" i="13"/>
  <c r="L29" i="12"/>
  <c r="J29" i="12"/>
  <c r="C28" i="12" s="1"/>
  <c r="K25" i="12"/>
  <c r="M13" i="1" l="1"/>
  <c r="G34" i="1" s="1"/>
  <c r="D26" i="13"/>
  <c r="J22" i="13"/>
  <c r="K24" i="13"/>
  <c r="J24" i="13" s="1"/>
  <c r="D23" i="13" s="1"/>
  <c r="K23" i="13"/>
  <c r="J23" i="13" s="1"/>
  <c r="D22" i="13" s="1"/>
  <c r="K26" i="13"/>
  <c r="K25" i="13"/>
  <c r="L25" i="13"/>
  <c r="L26" i="13"/>
  <c r="I20" i="13"/>
  <c r="I19" i="13"/>
  <c r="J26" i="13" l="1"/>
  <c r="D25" i="13" s="1"/>
  <c r="J25" i="13"/>
  <c r="D24" i="13" s="1"/>
  <c r="G29" i="12"/>
  <c r="E29" i="12" s="1"/>
  <c r="M18" i="12"/>
  <c r="L18" i="12" s="1"/>
  <c r="R23" i="13" s="1"/>
  <c r="F30" i="12"/>
  <c r="E32" i="12" s="1"/>
  <c r="J23" i="12"/>
  <c r="C23" i="12" s="1"/>
  <c r="J21" i="12"/>
  <c r="C21" i="12" s="1"/>
  <c r="J20" i="12"/>
  <c r="C20" i="12" s="1"/>
  <c r="G15" i="12"/>
  <c r="G16" i="12"/>
  <c r="G17" i="12"/>
  <c r="G24" i="12"/>
  <c r="E24" i="12" s="1"/>
  <c r="D39" i="13"/>
  <c r="J18" i="12"/>
  <c r="C18" i="12" s="1"/>
  <c r="O23" i="13" s="1"/>
  <c r="G27" i="12"/>
  <c r="E27" i="12" s="1"/>
  <c r="B50" i="16" l="1"/>
  <c r="Q26" i="13"/>
  <c r="K28" i="12"/>
  <c r="D26" i="12" s="1"/>
  <c r="K27" i="12"/>
  <c r="D25" i="12" s="1"/>
  <c r="J28" i="12"/>
  <c r="C26" i="12" s="1"/>
  <c r="O26" i="13" s="1"/>
  <c r="J27" i="12"/>
  <c r="C25" i="12" s="1"/>
  <c r="O25" i="13" s="1"/>
  <c r="K26" i="12"/>
  <c r="L28" i="12"/>
  <c r="E26" i="12" s="1"/>
  <c r="L27" i="12"/>
  <c r="E25" i="12" s="1"/>
  <c r="K15" i="12"/>
  <c r="J15" i="12"/>
  <c r="L15" i="12"/>
  <c r="AB159" i="9"/>
  <c r="AC159" i="9" s="1"/>
  <c r="AB158" i="9"/>
  <c r="AC158" i="9" s="1"/>
  <c r="AB156" i="9"/>
  <c r="AC156" i="9" s="1"/>
  <c r="AB155" i="9"/>
  <c r="AC155" i="9" s="1"/>
  <c r="AA136" i="9"/>
  <c r="Z137" i="9"/>
  <c r="AA137" i="9" s="1"/>
  <c r="Z138" i="9"/>
  <c r="AA138" i="9" s="1"/>
  <c r="Z139" i="9"/>
  <c r="AA139" i="9" s="1"/>
  <c r="Z140" i="9"/>
  <c r="AA140" i="9" s="1"/>
  <c r="Z141" i="9"/>
  <c r="AA141" i="9" s="1"/>
  <c r="Z143" i="9"/>
  <c r="AA143" i="9" s="1"/>
  <c r="AA144" i="9"/>
  <c r="Z145" i="9"/>
  <c r="AA145" i="9" s="1"/>
  <c r="Z146" i="9"/>
  <c r="AA146" i="9" s="1"/>
  <c r="Z147" i="9"/>
  <c r="AA147" i="9" s="1"/>
  <c r="Z148" i="9"/>
  <c r="AA148" i="9" s="1"/>
  <c r="L25" i="12"/>
  <c r="L17" i="12"/>
  <c r="K17" i="12"/>
  <c r="L20" i="13" s="1"/>
  <c r="K16" i="12"/>
  <c r="L19" i="13" s="1"/>
  <c r="L16" i="12"/>
  <c r="M23" i="12"/>
  <c r="L23" i="12" s="1"/>
  <c r="E23" i="12" s="1"/>
  <c r="M22" i="12"/>
  <c r="L22" i="12" s="1"/>
  <c r="E22" i="12" s="1"/>
  <c r="M21" i="12"/>
  <c r="L21" i="12" s="1"/>
  <c r="E21" i="12" s="1"/>
  <c r="K23" i="12"/>
  <c r="D23" i="12" s="1"/>
  <c r="K22" i="12"/>
  <c r="D22" i="12" s="1"/>
  <c r="J22" i="12"/>
  <c r="C22" i="12" s="1"/>
  <c r="M20" i="12"/>
  <c r="L20" i="12" s="1"/>
  <c r="E20" i="12" s="1"/>
  <c r="M19" i="12"/>
  <c r="L19" i="12" s="1"/>
  <c r="E18" i="12"/>
  <c r="K18" i="12"/>
  <c r="S23" i="13" s="1"/>
  <c r="Q23" i="13" s="1"/>
  <c r="K21" i="12"/>
  <c r="D21" i="12" s="1"/>
  <c r="K20" i="12"/>
  <c r="D20" i="12" s="1"/>
  <c r="K19" i="12"/>
  <c r="J19" i="12"/>
  <c r="C19" i="12" s="1"/>
  <c r="O24" i="13" s="1"/>
  <c r="B40" i="13"/>
  <c r="D19" i="12" l="1"/>
  <c r="S24" i="13"/>
  <c r="E17" i="12"/>
  <c r="K20" i="13"/>
  <c r="E15" i="12"/>
  <c r="K21" i="13"/>
  <c r="D15" i="12"/>
  <c r="L21" i="13"/>
  <c r="E19" i="12"/>
  <c r="R24" i="13"/>
  <c r="E16" i="12"/>
  <c r="K19" i="13"/>
  <c r="J19" i="13" s="1"/>
  <c r="N18" i="12"/>
  <c r="D18" i="12"/>
  <c r="N23" i="12"/>
  <c r="N16" i="12"/>
  <c r="N26" i="12"/>
  <c r="N20" i="12"/>
  <c r="N17" i="12"/>
  <c r="N22" i="12"/>
  <c r="N27" i="12"/>
  <c r="N28" i="12"/>
  <c r="N15" i="12"/>
  <c r="N21" i="12"/>
  <c r="N19" i="12"/>
  <c r="N25" i="12"/>
  <c r="F36" i="12"/>
  <c r="M36" i="12" l="1"/>
  <c r="J36" i="12"/>
  <c r="K36" i="12"/>
  <c r="D36" i="12"/>
  <c r="E36" i="12"/>
  <c r="L36" i="12" s="1"/>
  <c r="N36" i="12" s="1"/>
  <c r="AB94" i="9"/>
  <c r="AB93" i="9"/>
  <c r="AC93" i="9" s="1"/>
  <c r="AB92" i="9"/>
  <c r="AC92" i="9" s="1"/>
  <c r="AB91" i="9"/>
  <c r="AC91" i="9" s="1"/>
  <c r="AB90" i="9"/>
  <c r="AC90" i="9" s="1"/>
  <c r="AB89" i="9"/>
  <c r="AC89" i="9" s="1"/>
  <c r="AB86" i="9"/>
  <c r="AC86" i="9" s="1"/>
  <c r="AB85" i="9"/>
  <c r="AC85" i="9" s="1"/>
  <c r="AB84" i="9"/>
  <c r="AC84" i="9" s="1"/>
  <c r="AB83" i="9"/>
  <c r="AC83" i="9" s="1"/>
  <c r="AB82" i="9"/>
  <c r="AC82" i="9" s="1"/>
  <c r="AB81" i="9"/>
  <c r="AC81" i="9" s="1"/>
  <c r="J21" i="13" l="1"/>
  <c r="D21" i="13" s="1"/>
  <c r="G36" i="12"/>
  <c r="J20" i="13" l="1"/>
  <c r="D20" i="13" s="1"/>
  <c r="D19" i="13"/>
  <c r="N20" i="1"/>
  <c r="G24" i="1"/>
  <c r="L6" i="9"/>
  <c r="N6" i="9" s="1"/>
  <c r="L7" i="9"/>
  <c r="N7" i="9" s="1"/>
  <c r="L8" i="9"/>
  <c r="N8" i="9" s="1"/>
  <c r="L9" i="9"/>
  <c r="N9" i="9" s="1"/>
  <c r="L10" i="9"/>
  <c r="N10" i="9" s="1"/>
  <c r="L11" i="9"/>
  <c r="N11" i="9" s="1"/>
  <c r="F12" i="9"/>
  <c r="G12" i="9"/>
  <c r="G27" i="9"/>
  <c r="L33" i="9"/>
  <c r="N33" i="9" s="1"/>
  <c r="L34" i="9"/>
  <c r="N34" i="9" s="1"/>
  <c r="L35" i="9"/>
  <c r="N35" i="9" s="1"/>
  <c r="L36" i="9"/>
  <c r="N36" i="9" s="1"/>
  <c r="L37" i="9"/>
  <c r="N37" i="9" s="1"/>
  <c r="L38" i="9"/>
  <c r="N38" i="9" s="1"/>
  <c r="F39" i="9"/>
  <c r="G39" i="9"/>
  <c r="G54" i="9"/>
  <c r="H5" i="16"/>
  <c r="K18" i="16"/>
  <c r="J33" i="16" s="1"/>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49" i="16"/>
  <c r="B48" i="16"/>
  <c r="F48" i="16" s="1"/>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J16" i="16"/>
  <c r="N39" i="9" l="1"/>
  <c r="I39" i="9" s="1"/>
  <c r="N12" i="9"/>
  <c r="I12" i="9" s="1"/>
  <c r="P10" i="16"/>
  <c r="N28" i="16"/>
  <c r="J28" i="16" s="1"/>
  <c r="K28" i="16" s="1"/>
  <c r="P9" i="16"/>
  <c r="N6" i="16"/>
  <c r="J6" i="16" s="1"/>
  <c r="K6" i="16" s="1"/>
  <c r="N26" i="16"/>
  <c r="J26" i="16" s="1"/>
  <c r="K26" i="16" s="1"/>
  <c r="P25" i="16" s="1"/>
  <c r="N31" i="16"/>
  <c r="J31" i="16" s="1"/>
  <c r="K31" i="16" s="1"/>
  <c r="N11" i="16"/>
  <c r="J11" i="16" s="1"/>
  <c r="K11" i="16" s="1"/>
  <c r="N27" i="16"/>
  <c r="J27" i="16" s="1"/>
  <c r="K27" i="16" s="1"/>
  <c r="P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N5" i="16"/>
  <c r="J5" i="16" s="1"/>
  <c r="K5" i="16" s="1"/>
  <c r="J19" i="1" l="1"/>
  <c r="J19" i="19"/>
  <c r="J18" i="1"/>
  <c r="J18" i="19"/>
  <c r="P6" i="16"/>
  <c r="P26" i="16"/>
  <c r="P22" i="16"/>
  <c r="P5" i="16"/>
  <c r="J32" i="16"/>
  <c r="K15" i="16"/>
  <c r="J15" i="16"/>
  <c r="K32" i="16"/>
  <c r="F37" i="16" l="1"/>
  <c r="G37" i="16" s="1"/>
  <c r="F39" i="16"/>
  <c r="G39" i="16" s="1"/>
  <c r="J20" i="1"/>
  <c r="J20" i="19"/>
  <c r="G48" i="16"/>
  <c r="F50" i="16"/>
  <c r="G50" i="16" s="1"/>
  <c r="F41" i="16"/>
  <c r="G41" i="16" s="1"/>
  <c r="F40" i="16"/>
  <c r="G40" i="16" s="1"/>
  <c r="F38" i="16"/>
  <c r="G38" i="16" s="1"/>
  <c r="F42" i="16"/>
  <c r="G42" i="16" s="1"/>
  <c r="F49" i="16"/>
  <c r="G49" i="16" s="1"/>
  <c r="F46" i="16"/>
  <c r="G46" i="16" s="1"/>
  <c r="F51" i="16"/>
  <c r="G51" i="16" s="1"/>
  <c r="F47" i="16"/>
  <c r="G47" i="16" s="1"/>
  <c r="G43" i="16" l="1"/>
  <c r="X122" i="9" s="1"/>
  <c r="G52" i="16"/>
  <c r="X129" i="9" s="1"/>
  <c r="AB117" i="9"/>
  <c r="AC117" i="9" s="1"/>
  <c r="AB130" i="9"/>
  <c r="AB129" i="9"/>
  <c r="AC129" i="9" s="1"/>
  <c r="AB128" i="9"/>
  <c r="AC128" i="9" s="1"/>
  <c r="AB127" i="9"/>
  <c r="AC127" i="9" s="1"/>
  <c r="AB126" i="9"/>
  <c r="AC126" i="9" s="1"/>
  <c r="AB125" i="9"/>
  <c r="AC125" i="9" s="1"/>
  <c r="AB124" i="9"/>
  <c r="AC124" i="9" s="1"/>
  <c r="AB122" i="9"/>
  <c r="AC122" i="9" s="1"/>
  <c r="AB121" i="9"/>
  <c r="AC121" i="9" s="1"/>
  <c r="AB120" i="9"/>
  <c r="AC120" i="9" s="1"/>
  <c r="AB119" i="9"/>
  <c r="AC119" i="9" s="1"/>
  <c r="AB118" i="9"/>
  <c r="AC118" i="9" s="1"/>
  <c r="AB112" i="9"/>
  <c r="AB111" i="9"/>
  <c r="AC111" i="9" s="1"/>
  <c r="AB110" i="9"/>
  <c r="AC110" i="9" s="1"/>
  <c r="AB109" i="9"/>
  <c r="AC109" i="9" s="1"/>
  <c r="AB107" i="9"/>
  <c r="AC107" i="9" s="1"/>
  <c r="AB106" i="9"/>
  <c r="AC106" i="9" s="1"/>
  <c r="AB104" i="9"/>
  <c r="AC104" i="9" s="1"/>
  <c r="AB103" i="9"/>
  <c r="AC103" i="9" s="1"/>
  <c r="AB102" i="9"/>
  <c r="AC102" i="9" s="1"/>
  <c r="AB100" i="9"/>
  <c r="AC100" i="9" s="1"/>
  <c r="AB99" i="9"/>
  <c r="AC99" i="9" s="1"/>
  <c r="AC87" i="9"/>
  <c r="Z75" i="9"/>
  <c r="AA75" i="9" s="1"/>
  <c r="AA74" i="9"/>
  <c r="AA73" i="9"/>
  <c r="Z72" i="9"/>
  <c r="AA72" i="9" s="1"/>
  <c r="Z71" i="9"/>
  <c r="AA71" i="9" s="1"/>
  <c r="Z70" i="9"/>
  <c r="AA70" i="9" s="1"/>
  <c r="Z68" i="9"/>
  <c r="AA68" i="9" s="1"/>
  <c r="Z67" i="9"/>
  <c r="AA67" i="9" s="1"/>
  <c r="Z66" i="9"/>
  <c r="AA66" i="9" s="1"/>
  <c r="Z65" i="9"/>
  <c r="AA65" i="9" s="1"/>
  <c r="Z64" i="9"/>
  <c r="AA64" i="9" s="1"/>
  <c r="AA63" i="9"/>
  <c r="AI68" i="9"/>
  <c r="AJ68" i="9" s="1"/>
  <c r="AF68" i="9"/>
  <c r="T54" i="14"/>
  <c r="S57" i="14" s="1"/>
  <c r="V57" i="14"/>
  <c r="X159" i="9" l="1"/>
  <c r="X156" i="9"/>
  <c r="W57" i="14"/>
  <c r="X87" i="9"/>
  <c r="AB136" i="9"/>
  <c r="AC136" i="9" s="1"/>
  <c r="AB137" i="9"/>
  <c r="AC137" i="9" s="1"/>
  <c r="X137" i="9" s="1"/>
  <c r="AB139" i="9"/>
  <c r="AC139" i="9" s="1"/>
  <c r="X139" i="9" s="1"/>
  <c r="AB140" i="9"/>
  <c r="AC140" i="9" s="1"/>
  <c r="X140" i="9" s="1"/>
  <c r="AB138" i="9"/>
  <c r="AC138" i="9" s="1"/>
  <c r="X138" i="9" s="1"/>
  <c r="AB143" i="9"/>
  <c r="AC143" i="9" s="1"/>
  <c r="X143" i="9" s="1"/>
  <c r="AB144" i="9"/>
  <c r="AC144" i="9" s="1"/>
  <c r="X144" i="9" s="1"/>
  <c r="AB145" i="9"/>
  <c r="AC145" i="9" s="1"/>
  <c r="X145" i="9" s="1"/>
  <c r="AB146" i="9"/>
  <c r="AC146" i="9" s="1"/>
  <c r="X146" i="9" s="1"/>
  <c r="AB147" i="9"/>
  <c r="AC147" i="9" s="1"/>
  <c r="X147" i="9" s="1"/>
  <c r="AB141" i="9"/>
  <c r="AC141" i="9" s="1"/>
  <c r="X141" i="9" s="1"/>
  <c r="AB148" i="9"/>
  <c r="AC148" i="9" s="1"/>
  <c r="X148" i="9" s="1"/>
  <c r="AC123" i="9"/>
  <c r="X123" i="9" s="1"/>
  <c r="AC130" i="9"/>
  <c r="X130" i="9" s="1"/>
  <c r="AK68" i="9"/>
  <c r="AB70" i="9"/>
  <c r="AC70" i="9" s="1"/>
  <c r="X70" i="9" s="1"/>
  <c r="AB63" i="9"/>
  <c r="AC63" i="9" s="1"/>
  <c r="AB73" i="9"/>
  <c r="AC73" i="9" s="1"/>
  <c r="X73" i="9" s="1"/>
  <c r="AB74" i="9"/>
  <c r="AC74" i="9" s="1"/>
  <c r="X74" i="9" s="1"/>
  <c r="AB64" i="9"/>
  <c r="AC64" i="9" s="1"/>
  <c r="X64" i="9" s="1"/>
  <c r="AB72" i="9"/>
  <c r="AC72" i="9" s="1"/>
  <c r="X72" i="9" s="1"/>
  <c r="AB65" i="9"/>
  <c r="AC65" i="9" s="1"/>
  <c r="X65" i="9" s="1"/>
  <c r="AB67" i="9"/>
  <c r="AC67" i="9" s="1"/>
  <c r="X67" i="9" s="1"/>
  <c r="AB68" i="9"/>
  <c r="AC68" i="9" s="1"/>
  <c r="X68" i="9" s="1"/>
  <c r="AB71" i="9"/>
  <c r="AC71" i="9" s="1"/>
  <c r="X71" i="9" s="1"/>
  <c r="AB66" i="9"/>
  <c r="AC66" i="9" s="1"/>
  <c r="X66" i="9" s="1"/>
  <c r="AB75" i="9"/>
  <c r="AC75" i="9" s="1"/>
  <c r="X75" i="9" s="1"/>
  <c r="G18" i="1" l="1"/>
  <c r="G18" i="19"/>
  <c r="I19" i="1"/>
  <c r="I19" i="19"/>
  <c r="I18" i="1"/>
  <c r="I18" i="19"/>
  <c r="X158" i="9"/>
  <c r="X160" i="9" s="1"/>
  <c r="X136" i="9"/>
  <c r="X142" i="9" s="1"/>
  <c r="K18" i="19" s="1"/>
  <c r="AC142" i="9"/>
  <c r="X149" i="9"/>
  <c r="K19" i="19" s="1"/>
  <c r="AC149" i="9"/>
  <c r="X76" i="9"/>
  <c r="AC69" i="9"/>
  <c r="AC76" i="9"/>
  <c r="X63" i="9"/>
  <c r="X69" i="9" s="1"/>
  <c r="I20" i="1" l="1"/>
  <c r="K20" i="19"/>
  <c r="F18" i="1"/>
  <c r="F18" i="19"/>
  <c r="F19" i="1"/>
  <c r="F19" i="19"/>
  <c r="I20" i="19"/>
  <c r="K19" i="1"/>
  <c r="F31" i="13"/>
  <c r="F29" i="13" s="1"/>
  <c r="F20" i="1" l="1"/>
  <c r="F20" i="19"/>
  <c r="D30" i="13"/>
  <c r="D17" i="13" s="1"/>
  <c r="AB88" i="9" s="1"/>
  <c r="AC88" i="9" s="1"/>
  <c r="AC94" i="9" s="1"/>
  <c r="X94" i="9" s="1"/>
  <c r="G3" i="12"/>
  <c r="E3" i="12" s="1"/>
  <c r="G4" i="12"/>
  <c r="E4" i="12" s="1"/>
  <c r="G5" i="12"/>
  <c r="G6" i="12"/>
  <c r="E6" i="12" s="1"/>
  <c r="G7" i="12"/>
  <c r="E7" i="12" s="1"/>
  <c r="G8" i="12"/>
  <c r="E8" i="12" s="1"/>
  <c r="G9" i="12"/>
  <c r="G10" i="12"/>
  <c r="E10" i="12" s="1"/>
  <c r="G11" i="12"/>
  <c r="E11" i="12" s="1"/>
  <c r="G12" i="12"/>
  <c r="E12" i="12" s="1"/>
  <c r="G13" i="12"/>
  <c r="E13" i="12" s="1"/>
  <c r="E14" i="12"/>
  <c r="G19" i="1" l="1"/>
  <c r="G20" i="1" s="1"/>
  <c r="G19" i="19"/>
  <c r="E5" i="12"/>
  <c r="R22" i="13"/>
  <c r="Q22" i="13" s="1"/>
  <c r="E9" i="12"/>
  <c r="H30" i="13"/>
  <c r="H29" i="13" s="1"/>
  <c r="K18" i="13"/>
  <c r="J18" i="13" s="1"/>
  <c r="D18" i="13" s="1"/>
  <c r="AB101" i="9"/>
  <c r="AC101" i="9" s="1"/>
  <c r="AB108" i="9"/>
  <c r="AC108" i="9" s="1"/>
  <c r="G20" i="19" l="1"/>
  <c r="AC112" i="9"/>
  <c r="X112" i="9" s="1"/>
  <c r="AC105" i="9"/>
  <c r="H19" i="1" l="1"/>
  <c r="L19" i="1" s="1"/>
  <c r="H19" i="19"/>
  <c r="L19" i="19" s="1"/>
  <c r="X105" i="9"/>
  <c r="H18" i="1" l="1"/>
  <c r="H20" i="1" s="1"/>
  <c r="H18" i="19"/>
  <c r="AH104" i="1"/>
  <c r="AH103" i="1"/>
  <c r="AH102" i="1"/>
  <c r="AH101" i="1"/>
  <c r="AH100" i="1"/>
  <c r="AH99" i="1"/>
  <c r="AH98" i="1"/>
  <c r="AH97" i="1"/>
  <c r="AH96" i="1"/>
  <c r="AH95" i="1"/>
  <c r="AH94" i="1"/>
  <c r="AH93" i="1"/>
  <c r="AH92" i="1"/>
  <c r="AH91" i="1"/>
  <c r="AH90" i="1"/>
  <c r="AH89" i="1"/>
  <c r="AH88" i="1"/>
  <c r="H20" i="19" l="1"/>
  <c r="L18" i="19"/>
  <c r="L20" i="19" s="1"/>
  <c r="G29" i="19" s="1"/>
  <c r="E30" i="1"/>
  <c r="X155" i="9"/>
  <c r="X157" i="9" s="1"/>
  <c r="K18" i="1" s="1"/>
  <c r="K20" i="1" l="1"/>
  <c r="L18" i="1"/>
  <c r="L20" i="1" s="1"/>
  <c r="G29" i="1" s="1"/>
  <c r="G33" i="1" s="1"/>
  <c r="C35" i="12"/>
  <c r="F35" i="12" s="1"/>
  <c r="F34" i="12"/>
  <c r="E34" i="12" s="1"/>
  <c r="K34" i="12" l="1"/>
  <c r="D34" i="12"/>
  <c r="M34" i="12"/>
  <c r="J34" i="12"/>
  <c r="D35" i="12"/>
  <c r="J35" i="12"/>
  <c r="M35" i="12"/>
  <c r="K35" i="12"/>
  <c r="E35" i="12"/>
  <c r="L35" i="12" s="1"/>
  <c r="N35" i="12" s="1"/>
  <c r="G34" i="12" l="1"/>
  <c r="L34" i="12"/>
  <c r="N34" i="12" s="1"/>
  <c r="G35" i="12"/>
  <c r="D37" i="12"/>
  <c r="Q24" i="13" l="1"/>
</calcChain>
</file>

<file path=xl/sharedStrings.xml><?xml version="1.0" encoding="utf-8"?>
<sst xmlns="http://schemas.openxmlformats.org/spreadsheetml/2006/main" count="698" uniqueCount="399">
  <si>
    <t>Ⅰ</t>
    <phoneticPr fontId="4"/>
  </si>
  <si>
    <t>廃プラスチックから製造される製品樹脂名及び製品量の算出</t>
    <rPh sb="0" eb="1">
      <t>ハイ</t>
    </rPh>
    <rPh sb="9" eb="11">
      <t>セイゾウ</t>
    </rPh>
    <rPh sb="14" eb="16">
      <t>セイヒン</t>
    </rPh>
    <rPh sb="16" eb="18">
      <t>ジュシ</t>
    </rPh>
    <rPh sb="18" eb="19">
      <t>メイ</t>
    </rPh>
    <rPh sb="19" eb="20">
      <t>オヨ</t>
    </rPh>
    <rPh sb="21" eb="23">
      <t>セイヒン</t>
    </rPh>
    <rPh sb="23" eb="24">
      <t>リョウ</t>
    </rPh>
    <rPh sb="25" eb="27">
      <t>サンシュツ</t>
    </rPh>
    <phoneticPr fontId="4"/>
  </si>
  <si>
    <t>合　　　　計</t>
    <rPh sb="0" eb="1">
      <t>ゴウ</t>
    </rPh>
    <rPh sb="5" eb="6">
      <t>ケイ</t>
    </rPh>
    <phoneticPr fontId="4"/>
  </si>
  <si>
    <t>Ⅱ</t>
    <phoneticPr fontId="4"/>
  </si>
  <si>
    <t>廃プラスチックから製品製造のCO２削減量集計表</t>
    <rPh sb="0" eb="1">
      <t>ハイ</t>
    </rPh>
    <rPh sb="9" eb="11">
      <t>セイヒン</t>
    </rPh>
    <rPh sb="11" eb="13">
      <t>セイゾウ</t>
    </rPh>
    <rPh sb="17" eb="20">
      <t>サクゲンリョウ</t>
    </rPh>
    <rPh sb="20" eb="23">
      <t>シュウケイヒョウ</t>
    </rPh>
    <phoneticPr fontId="4"/>
  </si>
  <si>
    <t>エネルギー起源のＣＯ２削減量(t-CO2/年)</t>
    <rPh sb="11" eb="13">
      <t>サクゲン</t>
    </rPh>
    <rPh sb="13" eb="14">
      <t>リョウ</t>
    </rPh>
    <phoneticPr fontId="32"/>
  </si>
  <si>
    <t>プロセス</t>
    <phoneticPr fontId="32"/>
  </si>
  <si>
    <t>輸送</t>
    <rPh sb="0" eb="2">
      <t>ユソウ</t>
    </rPh>
    <phoneticPr fontId="4"/>
  </si>
  <si>
    <t>分別・選別</t>
    <rPh sb="0" eb="2">
      <t>ブンベツ</t>
    </rPh>
    <rPh sb="3" eb="5">
      <t>センベツ</t>
    </rPh>
    <phoneticPr fontId="4"/>
  </si>
  <si>
    <t>発電焼却
埋立</t>
    <rPh sb="0" eb="2">
      <t>ハツデン</t>
    </rPh>
    <phoneticPr fontId="4"/>
  </si>
  <si>
    <t>リサイクル</t>
  </si>
  <si>
    <t>原油採掘
樹脂製造</t>
    <rPh sb="0" eb="2">
      <t>ゲンユ</t>
    </rPh>
    <rPh sb="2" eb="4">
      <t>サイクツ</t>
    </rPh>
    <rPh sb="5" eb="9">
      <t>ジュシセイゾウ</t>
    </rPh>
    <phoneticPr fontId="4"/>
  </si>
  <si>
    <t>合計</t>
    <rPh sb="0" eb="2">
      <t>ゴウケイ</t>
    </rPh>
    <phoneticPr fontId="32"/>
  </si>
  <si>
    <t>製品製造</t>
    <rPh sb="0" eb="4">
      <t>セイヒンセイゾウ</t>
    </rPh>
    <phoneticPr fontId="4"/>
  </si>
  <si>
    <t>①事業実施前ＣＯ２排出量</t>
    <rPh sb="1" eb="6">
      <t>ジギョウジッシマエ</t>
    </rPh>
    <rPh sb="9" eb="12">
      <t>ハイシュツリョウ</t>
    </rPh>
    <phoneticPr fontId="32"/>
  </si>
  <si>
    <t>②事業実施後ＣＯ２排出量</t>
    <rPh sb="1" eb="6">
      <t>ジギョウジッシゴ</t>
    </rPh>
    <rPh sb="9" eb="12">
      <t>ハイシュツリョウ</t>
    </rPh>
    <phoneticPr fontId="32"/>
  </si>
  <si>
    <t>③事業実施によるＣＯ２削減量
（①－②）</t>
    <rPh sb="1" eb="5">
      <t>ジギョウジッシ</t>
    </rPh>
    <rPh sb="11" eb="14">
      <t>サクゲンリョウ</t>
    </rPh>
    <phoneticPr fontId="32"/>
  </si>
  <si>
    <t>Ⅲ</t>
    <phoneticPr fontId="4"/>
  </si>
  <si>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4"/>
  </si>
  <si>
    <t>Ⅳ</t>
    <phoneticPr fontId="4"/>
  </si>
  <si>
    <t>算出結果</t>
    <rPh sb="0" eb="2">
      <t>サンシュツ</t>
    </rPh>
    <rPh sb="2" eb="4">
      <t>ケッカ</t>
    </rPh>
    <phoneticPr fontId="4"/>
  </si>
  <si>
    <t>１．年間のCO2削減量</t>
    <rPh sb="2" eb="4">
      <t>ネンカン</t>
    </rPh>
    <rPh sb="8" eb="10">
      <t>サクゲン</t>
    </rPh>
    <rPh sb="10" eb="11">
      <t>リョウ</t>
    </rPh>
    <phoneticPr fontId="4"/>
  </si>
  <si>
    <t>エネルギー起源ＣＯ2削減量</t>
    <rPh sb="5" eb="7">
      <t>キゲン</t>
    </rPh>
    <rPh sb="10" eb="12">
      <t>サクゲン</t>
    </rPh>
    <rPh sb="12" eb="13">
      <t>リョウ</t>
    </rPh>
    <phoneticPr fontId="4"/>
  </si>
  <si>
    <t>(2)トータルＣＯ2排出量
　　（非エネルギー起源も含む）</t>
    <rPh sb="7" eb="13">
      <t>コ２ハイシュツリョウ</t>
    </rPh>
    <rPh sb="17" eb="18">
      <t>ヒ</t>
    </rPh>
    <rPh sb="23" eb="25">
      <t>キゲン</t>
    </rPh>
    <rPh sb="26" eb="27">
      <t>フク</t>
    </rPh>
    <phoneticPr fontId="4"/>
  </si>
  <si>
    <t>※削減量の計算にはＩＤＥＡデータを使用</t>
    <rPh sb="1" eb="3">
      <t>サクゲン</t>
    </rPh>
    <rPh sb="3" eb="4">
      <t>リョウ</t>
    </rPh>
    <rPh sb="5" eb="7">
      <t>ケイサン</t>
    </rPh>
    <rPh sb="17" eb="19">
      <t>シヨウ</t>
    </rPh>
    <phoneticPr fontId="4"/>
  </si>
  <si>
    <t>２．費用対効果（耐用年数９年）</t>
    <rPh sb="2" eb="7">
      <t>ヒヨウタイコウカ</t>
    </rPh>
    <rPh sb="8" eb="12">
      <t>タイヨウネンスウ</t>
    </rPh>
    <rPh sb="13" eb="14">
      <t>ネン</t>
    </rPh>
    <phoneticPr fontId="4"/>
  </si>
  <si>
    <t>エネルギー起源ＣＯ2削減量による費用対効果</t>
    <rPh sb="10" eb="12">
      <t>サクゲン</t>
    </rPh>
    <rPh sb="12" eb="13">
      <t>リョウ</t>
    </rPh>
    <rPh sb="16" eb="21">
      <t>ヒヨウタイコウカ</t>
    </rPh>
    <phoneticPr fontId="4"/>
  </si>
  <si>
    <t>再生素材等増加量の費用対効果</t>
    <phoneticPr fontId="4"/>
  </si>
  <si>
    <t>原単位　（kg-CO2/㎏）</t>
  </si>
  <si>
    <t>○</t>
    <phoneticPr fontId="4"/>
  </si>
  <si>
    <t>工　　　程</t>
  </si>
  <si>
    <t>事業実施前</t>
    <rPh sb="0" eb="2">
      <t>ジギョウ</t>
    </rPh>
    <rPh sb="2" eb="4">
      <t>ジッシ</t>
    </rPh>
    <rPh sb="4" eb="5">
      <t>マエ</t>
    </rPh>
    <phoneticPr fontId="32"/>
  </si>
  <si>
    <t>廃プラスチックから製造される製品樹脂名及び製品量の入力</t>
    <rPh sb="0" eb="1">
      <t>ハイ</t>
    </rPh>
    <rPh sb="9" eb="11">
      <t>セイゾウ</t>
    </rPh>
    <rPh sb="14" eb="16">
      <t>セイヒン</t>
    </rPh>
    <rPh sb="16" eb="18">
      <t>ジュシ</t>
    </rPh>
    <rPh sb="18" eb="19">
      <t>メイ</t>
    </rPh>
    <rPh sb="19" eb="20">
      <t>オヨ</t>
    </rPh>
    <rPh sb="21" eb="23">
      <t>セイヒン</t>
    </rPh>
    <rPh sb="23" eb="24">
      <t>リョウ</t>
    </rPh>
    <rPh sb="25" eb="27">
      <t>ニュウリョク</t>
    </rPh>
    <phoneticPr fontId="4"/>
  </si>
  <si>
    <r>
      <t>ライン</t>
    </r>
    <r>
      <rPr>
        <sz val="8"/>
        <color theme="1"/>
        <rFont val="ＭＳ Ｐゴシック"/>
        <family val="3"/>
        <charset val="128"/>
        <scheme val="minor"/>
      </rPr>
      <t>ＮＯ</t>
    </r>
    <phoneticPr fontId="4"/>
  </si>
  <si>
    <t>数値</t>
    <rPh sb="0" eb="2">
      <t>スウチ</t>
    </rPh>
    <phoneticPr fontId="4"/>
  </si>
  <si>
    <t>排出量</t>
    <rPh sb="0" eb="3">
      <t>ハイシュツリョウ</t>
    </rPh>
    <phoneticPr fontId="4"/>
  </si>
  <si>
    <t>①LDPE：低密度ポリエチレン</t>
  </si>
  <si>
    <t>④PS：ポリスチレン</t>
  </si>
  <si>
    <t>①</t>
    <phoneticPr fontId="4"/>
  </si>
  <si>
    <t>廃プラスチックから製品樹脂を製造するに必要な電力量の入力</t>
    <rPh sb="0" eb="1">
      <t>ハイ</t>
    </rPh>
    <rPh sb="9" eb="11">
      <t>セイヒン</t>
    </rPh>
    <rPh sb="11" eb="13">
      <t>ジュシ</t>
    </rPh>
    <rPh sb="14" eb="16">
      <t>セイゾウ</t>
    </rPh>
    <rPh sb="19" eb="21">
      <t>ヒツヨウ</t>
    </rPh>
    <rPh sb="22" eb="25">
      <t>デンリョクリョウ</t>
    </rPh>
    <rPh sb="26" eb="28">
      <t>ニュウリョク</t>
    </rPh>
    <phoneticPr fontId="4"/>
  </si>
  <si>
    <r>
      <t xml:space="preserve">ライン
</t>
    </r>
    <r>
      <rPr>
        <sz val="8"/>
        <color theme="1"/>
        <rFont val="ＭＳ Ｐゴシック"/>
        <family val="3"/>
        <charset val="128"/>
        <scheme val="minor"/>
      </rPr>
      <t>ＮＯ</t>
    </r>
    <phoneticPr fontId="4"/>
  </si>
  <si>
    <t>インバータ制御の場合はプルダウンして〇を付けて下さい。</t>
    <rPh sb="5" eb="7">
      <t>セイギョ</t>
    </rPh>
    <rPh sb="8" eb="10">
      <t>バアイ</t>
    </rPh>
    <rPh sb="20" eb="21">
      <t>ツ</t>
    </rPh>
    <rPh sb="23" eb="24">
      <t>クダ</t>
    </rPh>
    <phoneticPr fontId="4"/>
  </si>
  <si>
    <t>既設設備において、今回のリサイクル・リユースの割合を入れてください。</t>
    <rPh sb="0" eb="2">
      <t>キセツ</t>
    </rPh>
    <rPh sb="2" eb="4">
      <t>セツビ</t>
    </rPh>
    <rPh sb="9" eb="11">
      <t>コンカイ</t>
    </rPh>
    <rPh sb="23" eb="25">
      <t>ワリアイ</t>
    </rPh>
    <rPh sb="26" eb="27">
      <t>イ</t>
    </rPh>
    <phoneticPr fontId="4"/>
  </si>
  <si>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4"/>
  </si>
  <si>
    <t>事業実施後</t>
    <rPh sb="0" eb="2">
      <t>ジギョウ</t>
    </rPh>
    <rPh sb="2" eb="4">
      <t>ジッシ</t>
    </rPh>
    <rPh sb="4" eb="5">
      <t>ゴ</t>
    </rPh>
    <phoneticPr fontId="32"/>
  </si>
  <si>
    <t>②</t>
    <phoneticPr fontId="4"/>
  </si>
  <si>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4"/>
  </si>
  <si>
    <t>機器名</t>
    <rPh sb="0" eb="2">
      <t>キキ</t>
    </rPh>
    <rPh sb="2" eb="3">
      <t>メイ</t>
    </rPh>
    <phoneticPr fontId="4"/>
  </si>
  <si>
    <t>定格処理量</t>
    <rPh sb="0" eb="2">
      <t>テイカク</t>
    </rPh>
    <rPh sb="2" eb="4">
      <t>ショリ</t>
    </rPh>
    <rPh sb="4" eb="5">
      <t>リョウ</t>
    </rPh>
    <phoneticPr fontId="4"/>
  </si>
  <si>
    <t>計画処理量</t>
    <rPh sb="0" eb="4">
      <t>ケイカクショリ</t>
    </rPh>
    <rPh sb="4" eb="5">
      <t>リョウ</t>
    </rPh>
    <phoneticPr fontId="4"/>
  </si>
  <si>
    <t>電動機容量</t>
    <rPh sb="0" eb="3">
      <t>デンドウキ</t>
    </rPh>
    <rPh sb="3" eb="5">
      <t>ヨウリョウ</t>
    </rPh>
    <phoneticPr fontId="4"/>
  </si>
  <si>
    <t>インバータ制御</t>
    <rPh sb="5" eb="7">
      <t>セイギョ</t>
    </rPh>
    <phoneticPr fontId="4"/>
  </si>
  <si>
    <t>既設利用割合</t>
    <rPh sb="0" eb="2">
      <t>キセツ</t>
    </rPh>
    <rPh sb="2" eb="4">
      <t>リヨウ</t>
    </rPh>
    <rPh sb="4" eb="6">
      <t>ワリアイ</t>
    </rPh>
    <phoneticPr fontId="4"/>
  </si>
  <si>
    <t>電力量
(kWh/t)</t>
    <rPh sb="0" eb="2">
      <t>デンリョク</t>
    </rPh>
    <rPh sb="2" eb="3">
      <t>リョウ</t>
    </rPh>
    <phoneticPr fontId="4"/>
  </si>
  <si>
    <t>CO2排出量
(t-CO2/t)</t>
    <rPh sb="3" eb="5">
      <t>ハイシュツ</t>
    </rPh>
    <rPh sb="5" eb="6">
      <t>リョウ</t>
    </rPh>
    <phoneticPr fontId="4"/>
  </si>
  <si>
    <t>電力量
（割合無）</t>
    <rPh sb="0" eb="2">
      <t>デンリョク</t>
    </rPh>
    <rPh sb="2" eb="3">
      <t>リョウ</t>
    </rPh>
    <rPh sb="5" eb="7">
      <t>ワリアイ</t>
    </rPh>
    <rPh sb="7" eb="8">
      <t>ム</t>
    </rPh>
    <phoneticPr fontId="4"/>
  </si>
  <si>
    <t>CO2排出量
(CO2-t/t)</t>
    <rPh sb="3" eb="5">
      <t>ハイシュツ</t>
    </rPh>
    <rPh sb="5" eb="6">
      <t>リョウ</t>
    </rPh>
    <phoneticPr fontId="4"/>
  </si>
  <si>
    <t>合　　計</t>
    <rPh sb="0" eb="1">
      <t>ゴウ</t>
    </rPh>
    <rPh sb="3" eb="4">
      <t>ケイ</t>
    </rPh>
    <phoneticPr fontId="4"/>
  </si>
  <si>
    <t>A</t>
    <phoneticPr fontId="46"/>
  </si>
  <si>
    <t>処理量(t)</t>
    <phoneticPr fontId="4"/>
  </si>
  <si>
    <t>原単位</t>
    <rPh sb="0" eb="3">
      <t>ゲンタンイ</t>
    </rPh>
    <phoneticPr fontId="4"/>
  </si>
  <si>
    <t>事業実施後</t>
    <rPh sb="0" eb="2">
      <t>ジギョウ</t>
    </rPh>
    <rPh sb="2" eb="5">
      <t>ジッシゴ</t>
    </rPh>
    <phoneticPr fontId="32"/>
  </si>
  <si>
    <t>B</t>
    <phoneticPr fontId="46"/>
  </si>
  <si>
    <t>輸　送</t>
    <rPh sb="0" eb="1">
      <t>ユ</t>
    </rPh>
    <rPh sb="2" eb="3">
      <t>ソウ</t>
    </rPh>
    <phoneticPr fontId="32"/>
  </si>
  <si>
    <t>カテ
ゴリ</t>
    <phoneticPr fontId="32"/>
  </si>
  <si>
    <t>No．</t>
    <phoneticPr fontId="32"/>
  </si>
  <si>
    <t>項目名</t>
    <rPh sb="0" eb="2">
      <t>コウモク</t>
    </rPh>
    <rPh sb="2" eb="3">
      <t>メイ</t>
    </rPh>
    <phoneticPr fontId="32"/>
  </si>
  <si>
    <t>トラック輸送</t>
    <rPh sb="4" eb="6">
      <t>ユソウ</t>
    </rPh>
    <phoneticPr fontId="4"/>
  </si>
  <si>
    <t>入力項目</t>
    <rPh sb="0" eb="4">
      <t>ニュウリョクコウモク</t>
    </rPh>
    <phoneticPr fontId="32"/>
  </si>
  <si>
    <t>小型貨物車
普通貨物車</t>
    <phoneticPr fontId="17"/>
  </si>
  <si>
    <t>積載量</t>
    <rPh sb="0" eb="3">
      <t>セキサイリョウ</t>
    </rPh>
    <phoneticPr fontId="4"/>
  </si>
  <si>
    <t>積載率</t>
    <rPh sb="0" eb="3">
      <t>セキサイリツ</t>
    </rPh>
    <phoneticPr fontId="4"/>
  </si>
  <si>
    <t>活動量（プラｔ）</t>
    <rPh sb="0" eb="3">
      <t>カツドウリョウ</t>
    </rPh>
    <phoneticPr fontId="32"/>
  </si>
  <si>
    <t>輸送距離（km）</t>
    <rPh sb="0" eb="4">
      <t>ユソウキョリ</t>
    </rPh>
    <phoneticPr fontId="32"/>
  </si>
  <si>
    <t>中央値</t>
  </si>
  <si>
    <t>燃料使用量</t>
    <phoneticPr fontId="17"/>
  </si>
  <si>
    <t>排出量原単位数値</t>
    <rPh sb="0" eb="2">
      <t>ハイシュツ</t>
    </rPh>
    <rPh sb="3" eb="6">
      <t>ゲンタンイ</t>
    </rPh>
    <rPh sb="6" eb="8">
      <t>スウチ</t>
    </rPh>
    <phoneticPr fontId="17"/>
  </si>
  <si>
    <t>軽油</t>
    <rPh sb="0" eb="2">
      <t>ケイユ</t>
    </rPh>
    <phoneticPr fontId="17"/>
  </si>
  <si>
    <t>事業実施前</t>
    <rPh sb="0" eb="4">
      <t>ジギョウジッシ</t>
    </rPh>
    <rPh sb="4" eb="5">
      <t>マエ</t>
    </rPh>
    <phoneticPr fontId="4"/>
  </si>
  <si>
    <t>ln y＝2.71－0.812 ln (x/100)－0.654 ln z</t>
  </si>
  <si>
    <t>kg</t>
    <phoneticPr fontId="17"/>
  </si>
  <si>
    <t>積載率</t>
  </si>
  <si>
    <t>%</t>
    <phoneticPr fontId="17"/>
  </si>
  <si>
    <t>単位発熱</t>
    <rPh sb="0" eb="2">
      <t>タンイ</t>
    </rPh>
    <rPh sb="2" eb="4">
      <t>ハツネツ</t>
    </rPh>
    <phoneticPr fontId="17"/>
  </si>
  <si>
    <t>排出係数</t>
    <rPh sb="0" eb="2">
      <t>ハイシュツ</t>
    </rPh>
    <rPh sb="2" eb="4">
      <t>ケイスウ</t>
    </rPh>
    <phoneticPr fontId="17"/>
  </si>
  <si>
    <t>44/12</t>
    <phoneticPr fontId="17"/>
  </si>
  <si>
    <t>係数</t>
    <rPh sb="0" eb="2">
      <t>ケイスウ</t>
    </rPh>
    <phoneticPr fontId="4"/>
  </si>
  <si>
    <t>排出量</t>
    <rPh sb="0" eb="3">
      <t>ハイシュツリョウ</t>
    </rPh>
    <phoneticPr fontId="17"/>
  </si>
  <si>
    <t>合計</t>
    <rPh sb="0" eb="2">
      <t>ゴウケイ</t>
    </rPh>
    <phoneticPr fontId="4"/>
  </si>
  <si>
    <t>事業実施後</t>
    <rPh sb="0" eb="4">
      <t>ジギョウジッシ</t>
    </rPh>
    <rPh sb="4" eb="5">
      <t>ゴ</t>
    </rPh>
    <phoneticPr fontId="4"/>
  </si>
  <si>
    <t>(l/トンキロ)</t>
    <phoneticPr fontId="17"/>
  </si>
  <si>
    <t>(GJ/kl)</t>
  </si>
  <si>
    <t>(tC/GJ)</t>
    <phoneticPr fontId="17"/>
  </si>
  <si>
    <t>ｔCO2</t>
    <phoneticPr fontId="17"/>
  </si>
  <si>
    <t>分別・選別</t>
    <rPh sb="0" eb="2">
      <t>ブンベツ</t>
    </rPh>
    <rPh sb="3" eb="5">
      <t>センベツ</t>
    </rPh>
    <phoneticPr fontId="32"/>
  </si>
  <si>
    <t>原単位名</t>
    <rPh sb="0" eb="3">
      <t>ゲンタンイ</t>
    </rPh>
    <rPh sb="3" eb="4">
      <t>メイ</t>
    </rPh>
    <phoneticPr fontId="4"/>
  </si>
  <si>
    <t>活動量（ごみｔ）</t>
    <rPh sb="0" eb="3">
      <t>カツドウリョウ</t>
    </rPh>
    <phoneticPr fontId="32"/>
  </si>
  <si>
    <t>焼却発電</t>
    <rPh sb="0" eb="2">
      <t>ショウキャク</t>
    </rPh>
    <rPh sb="2" eb="4">
      <t>ハツデン</t>
    </rPh>
    <phoneticPr fontId="32"/>
  </si>
  <si>
    <t>リサイクル(ユーティリティー)</t>
    <phoneticPr fontId="32"/>
  </si>
  <si>
    <t>活動量（m3）</t>
    <rPh sb="0" eb="3">
      <t>カツドウリョウ</t>
    </rPh>
    <phoneticPr fontId="32"/>
  </si>
  <si>
    <t>電力計算</t>
    <rPh sb="0" eb="4">
      <t>デンリョクケイサン</t>
    </rPh>
    <phoneticPr fontId="17"/>
  </si>
  <si>
    <t>電力計算部シート参照</t>
    <rPh sb="0" eb="2">
      <t>デンリョク</t>
    </rPh>
    <rPh sb="2" eb="5">
      <t>ケイサンブ</t>
    </rPh>
    <rPh sb="8" eb="10">
      <t>サンショウ</t>
    </rPh>
    <phoneticPr fontId="4"/>
  </si>
  <si>
    <t>[２]温対法算定・報告・公表制度における【輸送】に関する排出係数（3/3）</t>
    <phoneticPr fontId="17"/>
  </si>
  <si>
    <t>　　③トンキロ法</t>
    <phoneticPr fontId="17"/>
  </si>
  <si>
    <t>Scope1〇　Scope2〇</t>
    <phoneticPr fontId="17"/>
  </si>
  <si>
    <t>Scope3(上流)：Cat01〇｜Cat02〇｜Cat03〇｜Cat04●｜Cat05〇｜Cat06〇｜Cat07〇｜Cat08〇</t>
    <phoneticPr fontId="17"/>
  </si>
  <si>
    <t>Scope3(下流)：Cat09●｜Cat10〇｜Cat11〇｜Cat12〇｜Cat13〇｜Cat14〇｜Cat15〇</t>
    <phoneticPr fontId="17"/>
  </si>
  <si>
    <t>＜排出原単位について＞</t>
    <phoneticPr fontId="17"/>
  </si>
  <si>
    <t>「温室効果ガス排出量算定・報告マニュアル」を基に作成しています。</t>
    <phoneticPr fontId="17"/>
  </si>
  <si>
    <t>なお、トンキロに関する排出原単位については、IDEAに掲載されている数値を用いることもできます。</t>
    <phoneticPr fontId="17"/>
  </si>
  <si>
    <t>積載率と車両の燃料種類、最大積載量別の輸送トンキロからCO2排出量を算定します。</t>
    <phoneticPr fontId="17"/>
  </si>
  <si>
    <t>トンキロ法の場合でも実測等によりCO2排出原単位が把握できる場合には、報告する排出量の算定の際にその値を用いることができます。</t>
    <phoneticPr fontId="17"/>
  </si>
  <si>
    <t>[トラック]CO2排出量＝輸送トンキロ×トンキロ法燃料使用原単位[D]×単位発熱量[A]×排出係数[B]×44/12</t>
    <phoneticPr fontId="17"/>
  </si>
  <si>
    <t>トラックの最大積載量別積載率別の燃料使用原単位に最大積載量別積載率別に細分化された輸送トンキロをかけて算定します。</t>
    <phoneticPr fontId="17"/>
  </si>
  <si>
    <t>この手法では積載率による原単位の違いを反映できます。（参考表に一例を掲載します。）</t>
    <phoneticPr fontId="17"/>
  </si>
  <si>
    <t>なお、輸送トンキロは以下の方法により貨物重量と輸送距離から求めます。</t>
    <phoneticPr fontId="17"/>
  </si>
  <si>
    <t>輸送トンキロ＝貨物重量（t）× 輸送距離（km）</t>
    <phoneticPr fontId="17"/>
  </si>
  <si>
    <t>トラックの輸送トンキロ当たり燃料使用量（燃料使用原単位）については、次の数式に基づき算出します。</t>
    <phoneticPr fontId="17"/>
  </si>
  <si>
    <t>【ガソリン車】</t>
    <phoneticPr fontId="17"/>
  </si>
  <si>
    <t>ln y＝2.67－0.927 ln (x/100)－0.648 ln z</t>
    <phoneticPr fontId="17"/>
  </si>
  <si>
    <t>【ディーゼル車】</t>
    <phoneticPr fontId="17"/>
  </si>
  <si>
    <t>ln y＝2.71－0.812 ln (x/100)－0.654 ln z</t>
    <phoneticPr fontId="17"/>
  </si>
  <si>
    <t>ただし、y：輸送トンキロ当たり燃料使用量（l）、x：積載率（%）、z：最大積載量（kg）。</t>
    <phoneticPr fontId="17"/>
  </si>
  <si>
    <t>積載率10％未満の場合は、積載率10％の時の値を用いる。</t>
    <phoneticPr fontId="17"/>
  </si>
  <si>
    <t>なお、表記「ln」は自然対数（eを底とする対数）</t>
    <phoneticPr fontId="17"/>
  </si>
  <si>
    <t>トラック以外の輸送モード（鉄道、船舶、航空）については、輸送機関別CO2排出原単位（下表）を用いて算定します。</t>
    <phoneticPr fontId="17"/>
  </si>
  <si>
    <t>[鉄道、船舶、航空機]CO2排出量＝輸送トンキロ×トンキロ当たりの排出係数[E]</t>
    <phoneticPr fontId="17"/>
  </si>
  <si>
    <t>トラック以外の輸送モード（鉄道、船舶、航空）の輸送トンキロ当たりCO2排出原単位</t>
    <phoneticPr fontId="17"/>
  </si>
  <si>
    <t>輸送機関</t>
    <phoneticPr fontId="17"/>
  </si>
  <si>
    <t>CO2排出原単位[E]</t>
    <phoneticPr fontId="17"/>
  </si>
  <si>
    <t>（gCO2/トンキロ）</t>
    <phoneticPr fontId="17"/>
  </si>
  <si>
    <t>鉄道</t>
    <phoneticPr fontId="17"/>
  </si>
  <si>
    <t>船舶</t>
    <phoneticPr fontId="17"/>
  </si>
  <si>
    <t>航空</t>
    <phoneticPr fontId="17"/>
  </si>
  <si>
    <t>注１：</t>
    <phoneticPr fontId="17"/>
  </si>
  <si>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7"/>
  </si>
  <si>
    <t>出典：</t>
    <phoneticPr fontId="17"/>
  </si>
  <si>
    <t>環境省</t>
    <phoneticPr fontId="17"/>
  </si>
  <si>
    <t>表3. 燃料別最大積載量別の積載率別輸送トンキロ当たり燃料使用量</t>
    <phoneticPr fontId="17"/>
  </si>
  <si>
    <t>車種</t>
    <phoneticPr fontId="17"/>
  </si>
  <si>
    <t>燃料</t>
    <phoneticPr fontId="17"/>
  </si>
  <si>
    <t>最大積載量
（kg)</t>
    <phoneticPr fontId="17"/>
  </si>
  <si>
    <t>車種別の
平均積載率
(％)</t>
    <phoneticPr fontId="17"/>
  </si>
  <si>
    <t>輸送トンキロ当たり燃料使用量[D]
(l/トンキロ)</t>
    <phoneticPr fontId="17"/>
  </si>
  <si>
    <t>単位
発熱量</t>
    <phoneticPr fontId="17"/>
  </si>
  <si>
    <t>排出
係数</t>
    <phoneticPr fontId="17"/>
  </si>
  <si>
    <t>[参考]
原単位</t>
    <phoneticPr fontId="17"/>
  </si>
  <si>
    <t>積載率別一覧</t>
    <phoneticPr fontId="17"/>
  </si>
  <si>
    <t>中央値</t>
    <phoneticPr fontId="17"/>
  </si>
  <si>
    <t>営業用</t>
    <phoneticPr fontId="17"/>
  </si>
  <si>
    <t>自家用</t>
    <phoneticPr fontId="17"/>
  </si>
  <si>
    <t>平均積載率</t>
    <phoneticPr fontId="17"/>
  </si>
  <si>
    <t>[A]</t>
    <phoneticPr fontId="17"/>
  </si>
  <si>
    <t>[B]</t>
    <phoneticPr fontId="17"/>
  </si>
  <si>
    <t>[A]×[B]×44/12</t>
    <phoneticPr fontId="17"/>
  </si>
  <si>
    <t>(GJ/kl)</t>
    <phoneticPr fontId="17"/>
  </si>
  <si>
    <t>(tCO2/kl)</t>
    <phoneticPr fontId="17"/>
  </si>
  <si>
    <t>軽貨物車</t>
    <phoneticPr fontId="17"/>
  </si>
  <si>
    <t>ガソリン</t>
    <phoneticPr fontId="17"/>
  </si>
  <si>
    <t>小型貨物車</t>
    <phoneticPr fontId="17"/>
  </si>
  <si>
    <t>普通貨物車</t>
    <phoneticPr fontId="17"/>
  </si>
  <si>
    <t>軽油</t>
    <phoneticPr fontId="17"/>
  </si>
  <si>
    <t>～999</t>
    <phoneticPr fontId="17"/>
  </si>
  <si>
    <t>1,000～1,999</t>
    <phoneticPr fontId="17"/>
  </si>
  <si>
    <t>2,000～3,999</t>
    <phoneticPr fontId="17"/>
  </si>
  <si>
    <t>4,000～5,999</t>
    <phoneticPr fontId="17"/>
  </si>
  <si>
    <t>6,000～7,999</t>
    <phoneticPr fontId="17"/>
  </si>
  <si>
    <t>8,000～9,999</t>
    <phoneticPr fontId="17"/>
  </si>
  <si>
    <t>10,000～11,999</t>
    <phoneticPr fontId="17"/>
  </si>
  <si>
    <t>12,000～16,999</t>
    <phoneticPr fontId="17"/>
  </si>
  <si>
    <t>より正確に燃料使用量を求めるには、関数式に値を代入して原単位を求めてください。</t>
    <phoneticPr fontId="17"/>
  </si>
  <si>
    <t>注２：</t>
    <phoneticPr fontId="17"/>
  </si>
  <si>
    <t>平均積載率については、上表のデフォルト値の他、各輸送事業者が適切な方法により調査した数値（自社のサンプル調査の結果得られた数値等）を使用することも可能です。</t>
    <phoneticPr fontId="17"/>
  </si>
  <si>
    <t>注３：</t>
    <phoneticPr fontId="17"/>
  </si>
  <si>
    <t>輸送時に使用された車両（最大積載量）の把握が困難な場合には、各輸送事業者の保有台数、事業内容等を踏まえた適切な方法により、使用車両（最大積載量）を推定することができます。</t>
    <phoneticPr fontId="17"/>
  </si>
  <si>
    <t>注４：</t>
    <phoneticPr fontId="17"/>
  </si>
  <si>
    <t>CNG車及びハイブリッド車の数値については今後の検討課題です。</t>
    <phoneticPr fontId="17"/>
  </si>
  <si>
    <t>今後の国のガイドライン（ロジスティクス分野におけるCO2排出量算定方法共同ガイドライン）や業界の設定値を参考にしてください。</t>
    <phoneticPr fontId="17"/>
  </si>
  <si>
    <t>平成18年経済産業省告示第66号「貨物輸送事業者に行わせる貨物の輸送に係るエネルギーの使用量の算定の方法」より作成</t>
    <phoneticPr fontId="17"/>
  </si>
  <si>
    <t>IDEA ｺｰﾄﾞ</t>
    <phoneticPr fontId="4"/>
  </si>
  <si>
    <t>素材名</t>
    <rPh sb="0" eb="3">
      <t>ソザイメイ</t>
    </rPh>
    <phoneticPr fontId="4"/>
  </si>
  <si>
    <t>原料製造</t>
    <phoneticPr fontId="4"/>
  </si>
  <si>
    <t>焼　却</t>
  </si>
  <si>
    <t>発電</t>
    <rPh sb="0" eb="2">
      <t>ハツデン</t>
    </rPh>
    <phoneticPr fontId="4"/>
  </si>
  <si>
    <t>kJ/kg</t>
    <phoneticPr fontId="4"/>
  </si>
  <si>
    <t>①LDPE：低密度ポリエチレン</t>
    <phoneticPr fontId="4"/>
  </si>
  <si>
    <t>②HDPE：高密度ポリエチレン</t>
    <phoneticPr fontId="4"/>
  </si>
  <si>
    <t>④PS：ポリスチレン</t>
    <phoneticPr fontId="4"/>
  </si>
  <si>
    <r>
      <t>⑦PET：</t>
    </r>
    <r>
      <rPr>
        <sz val="9"/>
        <color rgb="FF000000"/>
        <rFont val="ＭＳ Ｐゴシック"/>
        <family val="3"/>
        <charset val="128"/>
      </rPr>
      <t>ポリエチレンテレフタレート</t>
    </r>
    <phoneticPr fontId="4"/>
  </si>
  <si>
    <t>IDEA</t>
    <phoneticPr fontId="4"/>
  </si>
  <si>
    <r>
      <rPr>
        <sz val="10"/>
        <color indexed="8"/>
        <rFont val="ＭＳ Ｐゴシック"/>
        <family val="3"/>
        <charset val="128"/>
      </rPr>
      <t>単位</t>
    </r>
    <rPh sb="0" eb="2">
      <t>タンイ</t>
    </rPh>
    <phoneticPr fontId="17"/>
  </si>
  <si>
    <t>気候変動 IPCC 2013 GWP 100a</t>
  </si>
  <si>
    <t>①トラック輸送サービス, 4トン車, 積載率50%</t>
    <phoneticPr fontId="4"/>
  </si>
  <si>
    <t>tkm</t>
  </si>
  <si>
    <t>kg</t>
    <phoneticPr fontId="4"/>
  </si>
  <si>
    <t>②トラック輸送サービス, 4トン車, 積載率25%</t>
    <phoneticPr fontId="4"/>
  </si>
  <si>
    <t>③トラック輸送サービス, 10トン車, 積載率50%</t>
    <phoneticPr fontId="4"/>
  </si>
  <si>
    <t>④トラック輸送サービス, 10トン車, 積載率25%</t>
    <phoneticPr fontId="4"/>
  </si>
  <si>
    <t>①焼却処理サービス, 一般廃棄物</t>
    <phoneticPr fontId="4"/>
  </si>
  <si>
    <t>kg</t>
  </si>
  <si>
    <t>②焼却処理サービス, 一般廃棄物, 廃プラスチック</t>
    <phoneticPr fontId="4"/>
  </si>
  <si>
    <t>m3</t>
  </si>
  <si>
    <t>kg</t>
    <phoneticPr fontId="46"/>
  </si>
  <si>
    <t>環境省</t>
    <rPh sb="0" eb="3">
      <t>カンキョウショウ</t>
    </rPh>
    <phoneticPr fontId="4"/>
  </si>
  <si>
    <t>kWh</t>
  </si>
  <si>
    <t>廃棄プラスチックの燃焼エネルギー</t>
    <phoneticPr fontId="46"/>
  </si>
  <si>
    <t>MJ</t>
    <phoneticPr fontId="46"/>
  </si>
  <si>
    <t>廃棄プラスチックのCO2</t>
    <phoneticPr fontId="46"/>
  </si>
  <si>
    <t>t</t>
    <phoneticPr fontId="46"/>
  </si>
  <si>
    <t>トンキロに関する排出原単位については、IDEAに掲載されている数値を用いることもできます。</t>
    <phoneticPr fontId="4"/>
  </si>
  <si>
    <t>最大積載量別と積載率の輸送トンキロからCO2排出量を算定します。</t>
    <phoneticPr fontId="4"/>
  </si>
  <si>
    <t>機能・目的</t>
    <rPh sb="0" eb="2">
      <t>キノウ</t>
    </rPh>
    <rPh sb="3" eb="5">
      <t>モクテキ</t>
    </rPh>
    <phoneticPr fontId="17"/>
  </si>
  <si>
    <t>基数</t>
    <rPh sb="0" eb="2">
      <t>キスウ</t>
    </rPh>
    <phoneticPr fontId="17"/>
  </si>
  <si>
    <t>インバータ</t>
    <phoneticPr fontId="4"/>
  </si>
  <si>
    <t>既設</t>
    <rPh sb="0" eb="2">
      <t>キセツ</t>
    </rPh>
    <phoneticPr fontId="4"/>
  </si>
  <si>
    <t>仕様 （処理能力を含む）</t>
    <rPh sb="0" eb="2">
      <t>シヨウ</t>
    </rPh>
    <rPh sb="4" eb="6">
      <t>ショリ</t>
    </rPh>
    <rPh sb="6" eb="8">
      <t>ノウリョク</t>
    </rPh>
    <rPh sb="9" eb="10">
      <t>フク</t>
    </rPh>
    <phoneticPr fontId="17"/>
  </si>
  <si>
    <t>計画処理量</t>
    <rPh sb="0" eb="2">
      <t>ケイカク</t>
    </rPh>
    <rPh sb="2" eb="4">
      <t>ショリ</t>
    </rPh>
    <rPh sb="4" eb="5">
      <t>リョウ</t>
    </rPh>
    <phoneticPr fontId="4"/>
  </si>
  <si>
    <t>既設設備の利用割合</t>
    <rPh sb="0" eb="2">
      <t>キセツ</t>
    </rPh>
    <rPh sb="2" eb="4">
      <t>セツビ</t>
    </rPh>
    <rPh sb="5" eb="7">
      <t>リヨウ</t>
    </rPh>
    <rPh sb="7" eb="9">
      <t>ワリアイ</t>
    </rPh>
    <phoneticPr fontId="4"/>
  </si>
  <si>
    <t>型式</t>
    <rPh sb="0" eb="2">
      <t>カタシキ</t>
    </rPh>
    <phoneticPr fontId="17"/>
  </si>
  <si>
    <t>ﾒｰｶｰ</t>
    <phoneticPr fontId="17"/>
  </si>
  <si>
    <t>定格容量</t>
    <rPh sb="0" eb="2">
      <t>テイカク</t>
    </rPh>
    <rPh sb="2" eb="4">
      <t>ヨウリョウ</t>
    </rPh>
    <phoneticPr fontId="4"/>
  </si>
  <si>
    <t>処理能力</t>
    <rPh sb="0" eb="2">
      <t>ショリ</t>
    </rPh>
    <rPh sb="2" eb="4">
      <t>ノウリョク</t>
    </rPh>
    <phoneticPr fontId="17"/>
  </si>
  <si>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4"/>
  </si>
  <si>
    <t>○</t>
    <phoneticPr fontId="4"/>
  </si>
  <si>
    <t>樹脂製造</t>
    <rPh sb="0" eb="4">
      <t>ジュシセイゾウ</t>
    </rPh>
    <phoneticPr fontId="4"/>
  </si>
  <si>
    <t>入力シート（省CO2型プラスチック高度リサイクル）</t>
    <rPh sb="0" eb="1">
      <t>チカラ</t>
    </rPh>
    <phoneticPr fontId="4"/>
  </si>
  <si>
    <t>電力計算部（省CO2型プラスチック高度リサイクル）</t>
    <rPh sb="0" eb="2">
      <t>デンリョク</t>
    </rPh>
    <rPh sb="2" eb="5">
      <t>ケイサンブ</t>
    </rPh>
    <phoneticPr fontId="4"/>
  </si>
  <si>
    <t>CO2削減量及び費用対効果（省CO2型プラスチック高度リサイクル）</t>
    <rPh sb="3" eb="5">
      <t>サクゲン</t>
    </rPh>
    <rPh sb="5" eb="6">
      <t>リョウ</t>
    </rPh>
    <rPh sb="6" eb="7">
      <t>オヨ</t>
    </rPh>
    <rPh sb="8" eb="13">
      <t>ヒヨウタイコウカ</t>
    </rPh>
    <phoneticPr fontId="4"/>
  </si>
  <si>
    <t>設備機器一覧表（省CO2型プラスチック高度リサイクル）</t>
    <rPh sb="0" eb="2">
      <t>セツビ</t>
    </rPh>
    <rPh sb="2" eb="4">
      <t>キキ</t>
    </rPh>
    <rPh sb="4" eb="6">
      <t>イチラン</t>
    </rPh>
    <rPh sb="6" eb="7">
      <t>ヒョウ</t>
    </rPh>
    <phoneticPr fontId="17"/>
  </si>
  <si>
    <t>CO2排出量</t>
    <rPh sb="3" eb="6">
      <t>ハイシュツリョウ</t>
    </rPh>
    <phoneticPr fontId="4"/>
  </si>
  <si>
    <t>電気の使用</t>
    <rPh sb="0" eb="2">
      <t>デンキ</t>
    </rPh>
    <rPh sb="3" eb="5">
      <t>シヨウ</t>
    </rPh>
    <phoneticPr fontId="4"/>
  </si>
  <si>
    <t>〇</t>
    <phoneticPr fontId="4"/>
  </si>
  <si>
    <t>廃プラスチックから製造される製品樹脂名及び製品量の入力</t>
    <phoneticPr fontId="4"/>
  </si>
  <si>
    <t>②HDPE：高密度ポリエチレン</t>
  </si>
  <si>
    <t>⑤EPS：発泡ポリスチレン</t>
    <rPh sb="5" eb="7">
      <t>ハッポウ</t>
    </rPh>
    <phoneticPr fontId="7"/>
  </si>
  <si>
    <t>⑥PVC：塩化ビニル</t>
  </si>
  <si>
    <t>⑧PA6：ナイロン</t>
  </si>
  <si>
    <t>⑨PA66：ナイロン</t>
  </si>
  <si>
    <t>⑩ABS</t>
  </si>
  <si>
    <t>⑪PC</t>
  </si>
  <si>
    <t>(IDEA)</t>
    <phoneticPr fontId="4"/>
  </si>
  <si>
    <t>焼却</t>
    <rPh sb="0" eb="2">
      <t>ショウキャク</t>
    </rPh>
    <phoneticPr fontId="4"/>
  </si>
  <si>
    <t>比率</t>
    <rPh sb="0" eb="2">
      <t>ヒリツ</t>
    </rPh>
    <phoneticPr fontId="4"/>
  </si>
  <si>
    <t>発熱量</t>
    <rPh sb="0" eb="3">
      <t>ハツネツリョウ</t>
    </rPh>
    <phoneticPr fontId="4"/>
  </si>
  <si>
    <t>基準</t>
    <rPh sb="0" eb="2">
      <t>キジュン</t>
    </rPh>
    <phoneticPr fontId="4"/>
  </si>
  <si>
    <t>再生PET樹脂（IDEA）</t>
    <rPh sb="5" eb="7">
      <t>ジュシ</t>
    </rPh>
    <phoneticPr fontId="32"/>
  </si>
  <si>
    <t>再生PETフレーク（IDEA）</t>
    <phoneticPr fontId="32"/>
  </si>
  <si>
    <t>電力原単位</t>
    <rPh sb="0" eb="2">
      <t>デンリョク</t>
    </rPh>
    <rPh sb="2" eb="5">
      <t>ゲンタンイ</t>
    </rPh>
    <phoneticPr fontId="4"/>
  </si>
  <si>
    <t>PETﾌﾚｰｸtoﾍﾟﾚｯﾄ（IDEA）</t>
    <phoneticPr fontId="32"/>
  </si>
  <si>
    <t>ベール状の使用済みPETボトル</t>
    <phoneticPr fontId="4"/>
  </si>
  <si>
    <t>①</t>
    <phoneticPr fontId="4"/>
  </si>
  <si>
    <t>代替率</t>
    <rPh sb="0" eb="3">
      <t>ダイタイリツ</t>
    </rPh>
    <phoneticPr fontId="4"/>
  </si>
  <si>
    <t>②</t>
    <phoneticPr fontId="4"/>
  </si>
  <si>
    <t>補助対象経費支出予定額</t>
    <rPh sb="0" eb="2">
      <t>ホジョ</t>
    </rPh>
    <rPh sb="2" eb="4">
      <t>タイショウ</t>
    </rPh>
    <rPh sb="4" eb="6">
      <t>ケイヒ</t>
    </rPh>
    <rPh sb="6" eb="8">
      <t>シシュツ</t>
    </rPh>
    <rPh sb="8" eb="10">
      <t>ヨテイ</t>
    </rPh>
    <rPh sb="10" eb="11">
      <t>ガク</t>
    </rPh>
    <phoneticPr fontId="4"/>
  </si>
  <si>
    <t>補助対象経費支出予定額</t>
    <phoneticPr fontId="4"/>
  </si>
  <si>
    <t>881612000mJPN</t>
  </si>
  <si>
    <t>881612204pJPN</t>
  </si>
  <si>
    <t>882200211mJPN</t>
  </si>
  <si>
    <t>881611000pJPN</t>
  </si>
  <si>
    <t>882511000pJPN</t>
  </si>
  <si>
    <t>361111000pJPN</t>
  </si>
  <si>
    <t>079411000pJPN</t>
  </si>
  <si>
    <t>881811000pJPN</t>
  </si>
  <si>
    <t>872100204pJPN</t>
  </si>
  <si>
    <t>163516102pJPN</t>
  </si>
  <si>
    <t>163516100pJPN</t>
  </si>
  <si>
    <t>163518000pJPN</t>
  </si>
  <si>
    <t>163517000mJPN</t>
  </si>
  <si>
    <t>163517105pJPN</t>
  </si>
  <si>
    <t>163521000pJPN</t>
  </si>
  <si>
    <t>163526000pJPN</t>
  </si>
  <si>
    <t>163524100pJPN</t>
  </si>
  <si>
    <t>163239171pJPN</t>
  </si>
  <si>
    <t>163517106pJPN</t>
  </si>
  <si>
    <t>163528000mJPN</t>
  </si>
  <si>
    <t>185112100pJPN</t>
  </si>
  <si>
    <t>871100212pJPN</t>
  </si>
  <si>
    <r>
      <rPr>
        <b/>
        <sz val="10"/>
        <color theme="1"/>
        <rFont val="ＭＳ Ｐゴシック"/>
        <family val="3"/>
        <charset val="128"/>
        <scheme val="minor"/>
      </rPr>
      <t>機器名</t>
    </r>
    <r>
      <rPr>
        <sz val="10"/>
        <color theme="1"/>
        <rFont val="ＭＳ Ｐゴシック"/>
        <family val="3"/>
        <charset val="128"/>
        <scheme val="minor"/>
      </rPr>
      <t xml:space="preserve">
（破砕機などの名称を記入して下さい）</t>
    </r>
    <rPh sb="0" eb="2">
      <t>キキ</t>
    </rPh>
    <rPh sb="2" eb="3">
      <t>メイ</t>
    </rPh>
    <rPh sb="5" eb="8">
      <t>ハサイキ</t>
    </rPh>
    <rPh sb="11" eb="13">
      <t>メイショウ</t>
    </rPh>
    <rPh sb="14" eb="16">
      <t>キニュウ</t>
    </rPh>
    <rPh sb="18" eb="19">
      <t>クダ</t>
    </rPh>
    <phoneticPr fontId="4"/>
  </si>
  <si>
    <r>
      <rPr>
        <b/>
        <sz val="10"/>
        <color theme="1"/>
        <rFont val="ＭＳ Ｐゴシック"/>
        <family val="3"/>
        <charset val="128"/>
        <scheme val="minor"/>
      </rPr>
      <t>定格処理量(t/h)</t>
    </r>
    <r>
      <rPr>
        <sz val="10"/>
        <color theme="1"/>
        <rFont val="ＭＳ Ｐゴシック"/>
        <family val="3"/>
        <charset val="128"/>
        <scheme val="minor"/>
      </rPr>
      <t xml:space="preserve">
（カタログ値等などによる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4"/>
  </si>
  <si>
    <r>
      <rPr>
        <b/>
        <sz val="10"/>
        <color theme="1"/>
        <rFont val="ＭＳ Ｐゴシック"/>
        <family val="3"/>
        <charset val="128"/>
        <scheme val="minor"/>
      </rPr>
      <t>計画処理量(t/h)</t>
    </r>
    <r>
      <rPr>
        <sz val="10"/>
        <color theme="1"/>
        <rFont val="ＭＳ Ｐゴシック"/>
        <family val="3"/>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4"/>
  </si>
  <si>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（電動機及びヒーターなどの合計値）</t>
    </r>
    <rPh sb="0" eb="3">
      <t>デンドウキ</t>
    </rPh>
    <rPh sb="3" eb="5">
      <t>テイカク</t>
    </rPh>
    <rPh sb="5" eb="7">
      <t>ヨウリョウ</t>
    </rPh>
    <rPh sb="7" eb="8">
      <t>トウ</t>
    </rPh>
    <rPh sb="14" eb="17">
      <t>デンドウキ</t>
    </rPh>
    <rPh sb="17" eb="18">
      <t>オヨ</t>
    </rPh>
    <rPh sb="26" eb="29">
      <t>ゴウケイチ</t>
    </rPh>
    <phoneticPr fontId="4"/>
  </si>
  <si>
    <r>
      <rPr>
        <b/>
        <sz val="10"/>
        <color theme="1"/>
        <rFont val="ＭＳ Ｐゴシック"/>
        <family val="3"/>
        <charset val="128"/>
        <scheme val="minor"/>
      </rPr>
      <t>再生素材名</t>
    </r>
    <r>
      <rPr>
        <sz val="10"/>
        <color theme="1"/>
        <rFont val="ＭＳ Ｐゴシック"/>
        <family val="3"/>
        <charset val="128"/>
        <scheme val="minor"/>
      </rPr>
      <t xml:space="preserve">
（下記の枠においてプルダウンで選択して下さい）</t>
    </r>
    <rPh sb="0" eb="4">
      <t>サイセイソザイ</t>
    </rPh>
    <rPh sb="4" eb="5">
      <t>メイ</t>
    </rPh>
    <rPh sb="7" eb="9">
      <t>カキ</t>
    </rPh>
    <rPh sb="10" eb="11">
      <t>ワク</t>
    </rPh>
    <rPh sb="21" eb="23">
      <t>センタク</t>
    </rPh>
    <rPh sb="25" eb="26">
      <t>クダ</t>
    </rPh>
    <phoneticPr fontId="4"/>
  </si>
  <si>
    <t>補助対象経費支出予定額の入力</t>
    <rPh sb="12" eb="14">
      <t>ニュウリョク</t>
    </rPh>
    <phoneticPr fontId="4"/>
  </si>
  <si>
    <t>441111223pJPN</t>
  </si>
  <si>
    <t>441111225pJPN</t>
  </si>
  <si>
    <t>441111233pJPN</t>
  </si>
  <si>
    <t>441111235pJPN</t>
  </si>
  <si>
    <t>発電</t>
    <rPh sb="0" eb="2">
      <t>ハツデン</t>
    </rPh>
    <phoneticPr fontId="4"/>
  </si>
  <si>
    <t>焼却</t>
    <rPh sb="0" eb="2">
      <t>ショウキャク</t>
    </rPh>
    <phoneticPr fontId="32"/>
  </si>
  <si>
    <t>PET焼却発電</t>
    <rPh sb="3" eb="5">
      <t>ショウキャク</t>
    </rPh>
    <rPh sb="5" eb="7">
      <t>ハツデン</t>
    </rPh>
    <phoneticPr fontId="32"/>
  </si>
  <si>
    <t>PET発電</t>
    <rPh sb="3" eb="5">
      <t>ハツデン</t>
    </rPh>
    <phoneticPr fontId="4"/>
  </si>
  <si>
    <t>PET焼却</t>
    <rPh sb="3" eb="5">
      <t>ショウキャク</t>
    </rPh>
    <phoneticPr fontId="32"/>
  </si>
  <si>
    <t>比率</t>
    <rPh sb="0" eb="2">
      <t>ヒリツ</t>
    </rPh>
    <phoneticPr fontId="4"/>
  </si>
  <si>
    <t>原単位</t>
    <rPh sb="0" eb="3">
      <t>ハラタンイ</t>
    </rPh>
    <phoneticPr fontId="4"/>
  </si>
  <si>
    <t>再生PET</t>
    <rPh sb="0" eb="2">
      <t>サイセイ</t>
    </rPh>
    <phoneticPr fontId="4"/>
  </si>
  <si>
    <t>⑩焼却発電</t>
    <rPh sb="1" eb="3">
      <t>ショウキャク</t>
    </rPh>
    <rPh sb="3" eb="5">
      <t>ハツデン</t>
    </rPh>
    <phoneticPr fontId="32"/>
  </si>
  <si>
    <t>171112000pJPN</t>
    <phoneticPr fontId="4"/>
  </si>
  <si>
    <t>比率</t>
    <rPh sb="0" eb="2">
      <t>ヒリツ</t>
    </rPh>
    <phoneticPr fontId="4"/>
  </si>
  <si>
    <t>原単位</t>
    <rPh sb="0" eb="3">
      <t>ゲンタンイ</t>
    </rPh>
    <phoneticPr fontId="4"/>
  </si>
  <si>
    <t>計算</t>
    <rPh sb="0" eb="2">
      <t>ケイサン</t>
    </rPh>
    <phoneticPr fontId="4"/>
  </si>
  <si>
    <t>焼却発電</t>
    <rPh sb="0" eb="4">
      <t>ショウキャクハツデン</t>
    </rPh>
    <phoneticPr fontId="4"/>
  </si>
  <si>
    <t>平均</t>
    <rPh sb="0" eb="2">
      <t>ヘイキン</t>
    </rPh>
    <phoneticPr fontId="4"/>
  </si>
  <si>
    <t>コンテナ輸送</t>
    <rPh sb="4" eb="6">
      <t>ユソウ</t>
    </rPh>
    <phoneticPr fontId="4"/>
  </si>
  <si>
    <t>コンテナ船輸送サービス, ＜4000TEU</t>
  </si>
  <si>
    <t>コンテナ船輸送サービス, ＞4000TEU</t>
  </si>
  <si>
    <t>tkm</t>
    <phoneticPr fontId="46"/>
  </si>
  <si>
    <t>451200107pJPN</t>
  </si>
  <si>
    <t>451200108pJPN</t>
  </si>
  <si>
    <t>その他バルク運搬船輸送サービス, ＜8万DWT</t>
  </si>
  <si>
    <t>その他バルク運搬船輸送サービス, ＞8万DWT</t>
  </si>
  <si>
    <t>451200103pJPN</t>
  </si>
  <si>
    <t>451200104pJPN</t>
  </si>
  <si>
    <t>製品輸送（海外）</t>
    <rPh sb="0" eb="4">
      <t>セイヒンユソウ</t>
    </rPh>
    <rPh sb="5" eb="7">
      <t>カイガイ</t>
    </rPh>
    <phoneticPr fontId="32"/>
  </si>
  <si>
    <t>製品輸送（国内）</t>
    <rPh sb="0" eb="4">
      <t>セイヒンユソウ</t>
    </rPh>
    <rPh sb="5" eb="7">
      <t>コクナイ</t>
    </rPh>
    <phoneticPr fontId="3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</si>
  <si>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4"/>
  </si>
  <si>
    <r>
      <rPr>
        <b/>
        <sz val="10"/>
        <color theme="1"/>
        <rFont val="ＭＳ Ｐゴシック"/>
        <family val="3"/>
        <charset val="128"/>
        <scheme val="minor"/>
      </rPr>
      <t>製造量（トン／年）</t>
    </r>
    <r>
      <rPr>
        <sz val="10"/>
        <color theme="1"/>
        <rFont val="ＭＳ Ｐゴシック"/>
        <family val="3"/>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4"/>
  </si>
  <si>
    <r>
      <rPr>
        <b/>
        <sz val="10"/>
        <color theme="1"/>
        <rFont val="ＭＳ Ｐゴシック"/>
        <family val="3"/>
        <charset val="128"/>
        <scheme val="minor"/>
      </rPr>
      <t>処理量（トン／年）</t>
    </r>
    <r>
      <rPr>
        <sz val="10"/>
        <color theme="1"/>
        <rFont val="ＭＳ Ｐゴシック"/>
        <family val="3"/>
        <charset val="128"/>
        <scheme val="minor"/>
      </rPr>
      <t xml:space="preserve">
（数値で記入して下さい）</t>
    </r>
    <rPh sb="0" eb="2">
      <t>ショリ</t>
    </rPh>
    <rPh sb="2" eb="3">
      <t>リョウ</t>
    </rPh>
    <rPh sb="7" eb="8">
      <t>ネン</t>
    </rPh>
    <rPh sb="11" eb="13">
      <t>スウチ</t>
    </rPh>
    <rPh sb="14" eb="16">
      <t>キニュウ</t>
    </rPh>
    <rPh sb="18" eb="19">
      <t>クダ</t>
    </rPh>
    <phoneticPr fontId="4"/>
  </si>
  <si>
    <t>879100204pJPN</t>
  </si>
  <si>
    <t>事業者名</t>
    <rPh sb="0" eb="4">
      <t>ジギョウシャメイ</t>
    </rPh>
    <phoneticPr fontId="4"/>
  </si>
  <si>
    <t>⑮PETフレーク</t>
    <phoneticPr fontId="4"/>
  </si>
  <si>
    <t>⑯PETベール</t>
    <phoneticPr fontId="4"/>
  </si>
  <si>
    <t>⑦ポリエチレンテレフタレート</t>
    <phoneticPr fontId="4"/>
  </si>
  <si>
    <t>ポリエチレンテレフタレート</t>
    <phoneticPr fontId="4"/>
  </si>
  <si>
    <t>⑭PETﾌﾚｰｸｔｏﾍﾟﾚｯﾄ</t>
    <phoneticPr fontId="4"/>
  </si>
  <si>
    <t>焼却発電</t>
    <rPh sb="0" eb="2">
      <t>ショウキャク</t>
    </rPh>
    <rPh sb="2" eb="4">
      <t>ハツデン</t>
    </rPh>
    <phoneticPr fontId="4"/>
  </si>
  <si>
    <t>⑫ミックスプラ</t>
    <phoneticPr fontId="7"/>
  </si>
  <si>
    <t>185112105pJPN</t>
  </si>
  <si>
    <t>再生POを代用</t>
    <rPh sb="0" eb="2">
      <t>サイセイ</t>
    </rPh>
    <rPh sb="5" eb="7">
      <t>ダイヨウ</t>
    </rPh>
    <phoneticPr fontId="4"/>
  </si>
  <si>
    <t>⑬PETポリエチレンレフタレート（ﾌﾚｰｸｔｏﾍﾟﾚｯﾄ）</t>
    <phoneticPr fontId="4"/>
  </si>
  <si>
    <t>⑭PETフレーク</t>
    <phoneticPr fontId="4"/>
  </si>
  <si>
    <t>⑮PETベール</t>
    <phoneticPr fontId="4"/>
  </si>
  <si>
    <t>⑯PP　フレーク</t>
    <phoneticPr fontId="4"/>
  </si>
  <si>
    <t>⑰PP　ベール</t>
    <phoneticPr fontId="4"/>
  </si>
  <si>
    <t>⑱PS　フレーク</t>
    <phoneticPr fontId="4"/>
  </si>
  <si>
    <t>⑲PS　ベール</t>
    <phoneticPr fontId="4"/>
  </si>
  <si>
    <t>⑳ABS　フレーク</t>
    <phoneticPr fontId="4"/>
  </si>
  <si>
    <t>㉑PC　フレーク</t>
    <phoneticPr fontId="4"/>
  </si>
  <si>
    <t>㉒ナフサ</t>
    <phoneticPr fontId="4"/>
  </si>
  <si>
    <t>㉓PP（ﾌﾚｰｸｔｏﾍﾟﾚｯﾄ）</t>
    <phoneticPr fontId="4"/>
  </si>
  <si>
    <t>㉔PS（ﾌﾚｰｸｔｏﾍﾟﾚｯﾄ）</t>
    <phoneticPr fontId="4"/>
  </si>
  <si>
    <t>㉕RPF</t>
    <phoneticPr fontId="4"/>
  </si>
  <si>
    <t>185112102pJPN</t>
  </si>
  <si>
    <t>焼却発電・埋立</t>
    <rPh sb="0" eb="2">
      <t>ショウキャク</t>
    </rPh>
    <rPh sb="2" eb="4">
      <t>ハツデン</t>
    </rPh>
    <rPh sb="5" eb="7">
      <t>ウメタテ</t>
    </rPh>
    <phoneticPr fontId="32"/>
  </si>
  <si>
    <t>㉗再生PET</t>
    <rPh sb="1" eb="3">
      <t>サイセイ</t>
    </rPh>
    <phoneticPr fontId="4"/>
  </si>
  <si>
    <t>焼却・発電（PP　フレーク）</t>
    <rPh sb="0" eb="2">
      <t>ショウキャク</t>
    </rPh>
    <rPh sb="3" eb="5">
      <t>ハツデン</t>
    </rPh>
    <phoneticPr fontId="32"/>
  </si>
  <si>
    <t>焼却・発電（PP　ベール）</t>
    <rPh sb="0" eb="2">
      <t>ショウキャク</t>
    </rPh>
    <rPh sb="3" eb="5">
      <t>ハツデン</t>
    </rPh>
    <phoneticPr fontId="32"/>
  </si>
  <si>
    <t>焼却・発電（再生PET）</t>
    <rPh sb="0" eb="2">
      <t>ショウキャク</t>
    </rPh>
    <rPh sb="3" eb="5">
      <t>ハツデン</t>
    </rPh>
    <rPh sb="6" eb="8">
      <t>サイセイ</t>
    </rPh>
    <phoneticPr fontId="32"/>
  </si>
  <si>
    <t>焼却・発電（再生PETフレーク）</t>
    <rPh sb="0" eb="2">
      <t>ショウキャク</t>
    </rPh>
    <rPh sb="3" eb="5">
      <t>ハツデン</t>
    </rPh>
    <rPh sb="6" eb="8">
      <t>サイセイ</t>
    </rPh>
    <phoneticPr fontId="32"/>
  </si>
  <si>
    <t>焼却・発電（再生PETベール）</t>
    <rPh sb="0" eb="2">
      <t>ショウキャク</t>
    </rPh>
    <rPh sb="3" eb="5">
      <t>ハツデン</t>
    </rPh>
    <rPh sb="6" eb="8">
      <t>サイセイ</t>
    </rPh>
    <phoneticPr fontId="32"/>
  </si>
  <si>
    <t>焼却・発電（再生PETﾌﾚｰｸtoﾍﾟﾚｯﾄ）</t>
    <rPh sb="0" eb="2">
      <t>ショウキャク</t>
    </rPh>
    <rPh sb="3" eb="5">
      <t>ハツデン</t>
    </rPh>
    <rPh sb="6" eb="8">
      <t>サイセイ</t>
    </rPh>
    <phoneticPr fontId="32"/>
  </si>
  <si>
    <t>焼却・発電（PP　ﾌﾚｰｸtoﾍﾟﾚｯﾄ）</t>
    <rPh sb="0" eb="2">
      <t>ショウキャク</t>
    </rPh>
    <rPh sb="3" eb="5">
      <t>ハツデン</t>
    </rPh>
    <phoneticPr fontId="32"/>
  </si>
  <si>
    <t>焼却・発電（PS　ﾌﾚｰｸtoﾍﾟﾚｯﾄ）</t>
    <rPh sb="0" eb="2">
      <t>ショウキャク</t>
    </rPh>
    <rPh sb="3" eb="5">
      <t>ハツデン</t>
    </rPh>
    <phoneticPr fontId="32"/>
  </si>
  <si>
    <t>焼却・発電（PP）</t>
    <rPh sb="0" eb="2">
      <t>ショウキャク</t>
    </rPh>
    <rPh sb="3" eb="5">
      <t>ハツデン</t>
    </rPh>
    <phoneticPr fontId="32"/>
  </si>
  <si>
    <t>ミックスプラフレーク</t>
    <phoneticPr fontId="7"/>
  </si>
  <si>
    <t>ミックスプラベール</t>
    <phoneticPr fontId="7"/>
  </si>
  <si>
    <t>ミックスプラ（ﾌﾚｰｸｔｏﾍﾟﾚｯﾄ）</t>
    <phoneticPr fontId="7"/>
  </si>
  <si>
    <t>焼却・発電（リサイクル　フレーク）</t>
    <rPh sb="0" eb="2">
      <t>ショウキャク</t>
    </rPh>
    <rPh sb="3" eb="5">
      <t>ハツデン</t>
    </rPh>
    <phoneticPr fontId="32"/>
  </si>
  <si>
    <t>焼却・発電（リサイクル　ベール）</t>
    <rPh sb="0" eb="2">
      <t>ショウキャク</t>
    </rPh>
    <rPh sb="3" eb="5">
      <t>ハツデン</t>
    </rPh>
    <phoneticPr fontId="32"/>
  </si>
  <si>
    <t>各素材</t>
    <rPh sb="0" eb="1">
      <t>カク</t>
    </rPh>
    <rPh sb="1" eb="3">
      <t>ソザイ</t>
    </rPh>
    <phoneticPr fontId="4"/>
  </si>
  <si>
    <t>焼却・発電（リサイクル　ミックス）</t>
    <rPh sb="0" eb="2">
      <t>ショウキャク</t>
    </rPh>
    <rPh sb="3" eb="5">
      <t>ハツデン</t>
    </rPh>
    <phoneticPr fontId="32"/>
  </si>
  <si>
    <t>①埋立処理サービス, 産業廃棄物</t>
    <phoneticPr fontId="4"/>
  </si>
  <si>
    <t>②埋立処理サービス, 一般廃棄物</t>
    <phoneticPr fontId="4"/>
  </si>
  <si>
    <t>③工業排水処理サービス</t>
    <phoneticPr fontId="4"/>
  </si>
  <si>
    <t>④上水道</t>
    <phoneticPr fontId="4"/>
  </si>
  <si>
    <t>⑤工業用水道</t>
    <phoneticPr fontId="4"/>
  </si>
  <si>
    <t>⑥下水道処理サービス</t>
    <phoneticPr fontId="4"/>
  </si>
  <si>
    <t>⑦廃棄プラスチック中間処理</t>
    <rPh sb="1" eb="3">
      <t>ハイキ</t>
    </rPh>
    <rPh sb="9" eb="13">
      <t>チュウカンショリ</t>
    </rPh>
    <phoneticPr fontId="46"/>
  </si>
  <si>
    <t>⑧焼却・発電（廃プラスチック）</t>
    <rPh sb="1" eb="3">
      <t>ショウキャク</t>
    </rPh>
    <rPh sb="4" eb="6">
      <t>ハツデン</t>
    </rPh>
    <phoneticPr fontId="32"/>
  </si>
  <si>
    <t>⑨焼却・発電（再生PET）</t>
    <rPh sb="1" eb="3">
      <t>ショウキャク</t>
    </rPh>
    <rPh sb="4" eb="6">
      <t>ハツデン</t>
    </rPh>
    <rPh sb="7" eb="9">
      <t>サイセイ</t>
    </rPh>
    <phoneticPr fontId="32"/>
  </si>
  <si>
    <t>⑩焼却・発電（再生PETフレーク）</t>
    <rPh sb="1" eb="3">
      <t>ショウキャク</t>
    </rPh>
    <rPh sb="4" eb="6">
      <t>ハツデン</t>
    </rPh>
    <rPh sb="7" eb="9">
      <t>サイセイ</t>
    </rPh>
    <phoneticPr fontId="32"/>
  </si>
  <si>
    <t>⑪焼却・発電（再生PETベール）</t>
    <rPh sb="1" eb="3">
      <t>ショウキャク</t>
    </rPh>
    <rPh sb="4" eb="6">
      <t>ハツデン</t>
    </rPh>
    <rPh sb="7" eb="9">
      <t>サイセイ</t>
    </rPh>
    <phoneticPr fontId="32"/>
  </si>
  <si>
    <t>⑫焼却・発電（再生PETﾌﾚｰｸtoﾍﾟﾚｯﾄ）</t>
    <rPh sb="1" eb="3">
      <t>ショウキャク</t>
    </rPh>
    <rPh sb="4" eb="6">
      <t>ハツデン</t>
    </rPh>
    <rPh sb="7" eb="9">
      <t>サイセイ</t>
    </rPh>
    <phoneticPr fontId="32"/>
  </si>
  <si>
    <t>各プラ平均</t>
    <rPh sb="0" eb="1">
      <t>カク</t>
    </rPh>
    <rPh sb="3" eb="5">
      <t>ヘイキン</t>
    </rPh>
    <phoneticPr fontId="4"/>
  </si>
  <si>
    <t>PETフレークまで</t>
    <phoneticPr fontId="4"/>
  </si>
  <si>
    <t>PETベールまで</t>
    <phoneticPr fontId="4"/>
  </si>
  <si>
    <t>PETのみ廃棄</t>
    <rPh sb="5" eb="7">
      <t>ハイキ</t>
    </rPh>
    <phoneticPr fontId="4"/>
  </si>
  <si>
    <t>PETﾌﾚｰｸからﾍﾟﾚｯﾄまで</t>
    <phoneticPr fontId="4"/>
  </si>
  <si>
    <t>⑭焼却・発電（プラリサイクル　フレーク）</t>
    <rPh sb="1" eb="3">
      <t>ショウキャク</t>
    </rPh>
    <rPh sb="4" eb="6">
      <t>ハツデン</t>
    </rPh>
    <phoneticPr fontId="32"/>
  </si>
  <si>
    <t>焼却・発電（リサイクル　ﾌﾚｰｸtoﾍﾟﾚｯﾄ）</t>
    <rPh sb="0" eb="2">
      <t>ショウキャク</t>
    </rPh>
    <rPh sb="3" eb="5">
      <t>ハツデン</t>
    </rPh>
    <phoneticPr fontId="32"/>
  </si>
  <si>
    <t>焼却・発電（リサイクル　ﾍﾞｰﾙtoﾍﾟﾚｯﾄ）</t>
    <rPh sb="0" eb="2">
      <t>ショウキャク</t>
    </rPh>
    <rPh sb="3" eb="5">
      <t>ハツデン</t>
    </rPh>
    <phoneticPr fontId="32"/>
  </si>
  <si>
    <t>⑭焼却・発電（プラリサイクル　ベール）</t>
    <rPh sb="1" eb="3">
      <t>ショウキャク</t>
    </rPh>
    <rPh sb="4" eb="6">
      <t>ハツデン</t>
    </rPh>
    <phoneticPr fontId="32"/>
  </si>
  <si>
    <t>⑮焼却・発電（プラリサイクル　ﾌﾚｰｸtoﾍﾟﾚｯﾄ）</t>
    <rPh sb="1" eb="3">
      <t>ショウキャク</t>
    </rPh>
    <rPh sb="4" eb="6">
      <t>ハツデン</t>
    </rPh>
    <phoneticPr fontId="32"/>
  </si>
  <si>
    <t>⑰焼却・発電（RPF）</t>
    <rPh sb="1" eb="3">
      <t>ショウキャク</t>
    </rPh>
    <rPh sb="4" eb="6">
      <t>ハツデン</t>
    </rPh>
    <phoneticPr fontId="32"/>
  </si>
  <si>
    <t>再生プラフレーク≒PE、PPフレーク</t>
    <rPh sb="0" eb="2">
      <t>サイセイ</t>
    </rPh>
    <phoneticPr fontId="4"/>
  </si>
  <si>
    <t>㉖再生プラ　フレーク</t>
    <rPh sb="1" eb="3">
      <t>サイセイ</t>
    </rPh>
    <phoneticPr fontId="4"/>
  </si>
  <si>
    <r>
      <t xml:space="preserve">再生素材名
</t>
    </r>
    <r>
      <rPr>
        <sz val="11"/>
        <color theme="1"/>
        <rFont val="ＭＳ Ｐゴシック"/>
        <family val="3"/>
        <charset val="128"/>
        <scheme val="minor"/>
      </rPr>
      <t>（事業実施前）</t>
    </r>
    <rPh sb="0" eb="4">
      <t>サイセイソザイ</t>
    </rPh>
    <rPh sb="4" eb="5">
      <t>メイ</t>
    </rPh>
    <rPh sb="7" eb="9">
      <t>ジギョウ</t>
    </rPh>
    <rPh sb="9" eb="11">
      <t>ジッシ</t>
    </rPh>
    <rPh sb="11" eb="12">
      <t>マエ</t>
    </rPh>
    <phoneticPr fontId="4"/>
  </si>
  <si>
    <t>製造量（トン／年）</t>
    <rPh sb="0" eb="3">
      <t>セイゾウリョウ</t>
    </rPh>
    <rPh sb="7" eb="8">
      <t>ネン</t>
    </rPh>
    <phoneticPr fontId="4"/>
  </si>
  <si>
    <r>
      <t xml:space="preserve">再生素材名
</t>
    </r>
    <r>
      <rPr>
        <sz val="11"/>
        <color theme="1"/>
        <rFont val="ＭＳ Ｐゴシック"/>
        <family val="3"/>
        <charset val="128"/>
        <scheme val="minor"/>
      </rPr>
      <t>（事業実施後）</t>
    </r>
    <rPh sb="0" eb="4">
      <t>サイセイソザイ</t>
    </rPh>
    <rPh sb="4" eb="5">
      <t>メイ</t>
    </rPh>
    <rPh sb="7" eb="9">
      <t>ジギョウ</t>
    </rPh>
    <rPh sb="9" eb="11">
      <t>ジッシ</t>
    </rPh>
    <rPh sb="11" eb="12">
      <t>ゴ</t>
    </rPh>
    <phoneticPr fontId="4"/>
  </si>
  <si>
    <t>製造量（トン／年）</t>
    <rPh sb="0" eb="3">
      <t>セイゾウリョウ</t>
    </rPh>
    <phoneticPr fontId="4"/>
  </si>
  <si>
    <t>素材の増加量（トン／年）</t>
    <rPh sb="0" eb="2">
      <t>ソザイ</t>
    </rPh>
    <rPh sb="3" eb="6">
      <t>ゾウカリョウ</t>
    </rPh>
    <phoneticPr fontId="4"/>
  </si>
  <si>
    <t>⑯焼却・発電（プラリサイクル　ﾍﾞｰﾙtoﾍﾟﾚｯﾄ）</t>
    <rPh sb="1" eb="3">
      <t>ショウキャク</t>
    </rPh>
    <rPh sb="4" eb="6">
      <t>ハツデン</t>
    </rPh>
    <phoneticPr fontId="32"/>
  </si>
  <si>
    <t>プラリサ　ﾌﾚｰｸまで</t>
    <phoneticPr fontId="4"/>
  </si>
  <si>
    <t>プラリサ　ﾍﾞｰﾙまで</t>
    <phoneticPr fontId="4"/>
  </si>
  <si>
    <t>プラリサ ﾌﾚｰｸtoﾍﾟﾚｯﾄ</t>
    <phoneticPr fontId="32"/>
  </si>
  <si>
    <t>プラリサ ﾍﾞｰﾙtoﾍﾟﾚｯﾄ</t>
    <phoneticPr fontId="32"/>
  </si>
  <si>
    <t>RPFとして焼却</t>
    <rPh sb="6" eb="8">
      <t>ショウキャク</t>
    </rPh>
    <phoneticPr fontId="4"/>
  </si>
  <si>
    <t>電力（令和５年度排出量算定係数）</t>
    <phoneticPr fontId="4"/>
  </si>
  <si>
    <t>環境省_算定方法・排出係数一覧 |「温室効果ガス排出量 算定・報告・公表制度」ウェブサイト (env.go.jp)</t>
  </si>
  <si>
    <t>③PP：ポリプロピレン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</si>
</sst>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000"/>
    <numFmt numFmtId="185" formatCode="0.000_ "/>
    <numFmt numFmtId="186" formatCode="#,##0.0;[Red]\-#,##0.0"/>
    <numFmt numFmtId="187" formatCode="#,##0&quot; t-CO2&quot;"/>
    <numFmt numFmtId="188" formatCode="0.0000"/>
    <numFmt numFmtId="189" formatCode="#,##0&quot;kg&quot;"/>
    <numFmt numFmtId="190" formatCode="#,##0.0000&quot; l&quot;"/>
    <numFmt numFmtId="191" formatCode="#,##0.0000&quot;　kg-CO2/ｔkm&quot;"/>
    <numFmt numFmtId="192" formatCode="#,##0.0&quot;ｔCO2&quot;"/>
    <numFmt numFmtId="193" formatCode="#,##0&quot;t&quot;"/>
    <numFmt numFmtId="194" formatCode="#,##0&quot;ｔCO2&quot;"/>
    <numFmt numFmtId="195" formatCode="General&quot;t-CO2&quot;"/>
    <numFmt numFmtId="196" formatCode="0.000&quot;t-CO2/t&quot;"/>
    <numFmt numFmtId="197" formatCode="General&quot;t-CO2/T&quot;"/>
    <numFmt numFmtId="198" formatCode="General&quot;t&quot;"/>
    <numFmt numFmtId="199" formatCode="#,##0.000_);[Red]\(#,##0.000\)"/>
    <numFmt numFmtId="200" formatCode="#,##0_ "/>
    <numFmt numFmtId="201" formatCode="#,##0.0&quot;ｋW&quot;"/>
    <numFmt numFmtId="202" formatCode="#,##0.00&quot;トン/ｈ&quot;"/>
    <numFmt numFmtId="203" formatCode="General&quot;kW&quot;"/>
    <numFmt numFmtId="204" formatCode="0.0_ "/>
    <numFmt numFmtId="205" formatCode="#,###&quot;kJ/kg&quot;"/>
    <numFmt numFmtId="206" formatCode="#,###&quot; 円&quot;"/>
    <numFmt numFmtId="207" formatCode="#,###&quot; 円/t&quot;"/>
    <numFmt numFmtId="208" formatCode="#,###&quot; 円／t-CO2&quot;"/>
    <numFmt numFmtId="209" formatCode="0.000_);[Red]\(0.000\)"/>
  </numFmts>
  <fonts count="84">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22"/>
      <color theme="1"/>
      <name val="HGP創英ﾌﾟﾚｾﾞﾝｽEB"/>
      <family val="1"/>
      <charset val="128"/>
    </font>
    <font>
      <sz val="10"/>
      <name val="ＭＳ Ｐゴシック"/>
      <family val="3"/>
      <charset val="128"/>
    </font>
    <font>
      <sz val="9"/>
      <name val="ＭＳ Ｐゴシック"/>
      <family val="3"/>
      <charset val="128"/>
    </font>
    <font>
      <sz val="16"/>
      <color theme="1"/>
      <name val="HG丸ｺﾞｼｯｸM-PRO"/>
      <family val="3"/>
      <charset val="128"/>
    </font>
    <font>
      <sz val="11"/>
      <color rgb="FFFF0000"/>
      <name val="ＭＳ ゴシック"/>
      <family val="2"/>
      <charset val="128"/>
    </font>
    <font>
      <b/>
      <sz val="11"/>
      <color rgb="FFFF0000"/>
      <name val="ＭＳ ゴシック"/>
      <family val="3"/>
      <charset val="128"/>
    </font>
    <font>
      <sz val="11"/>
      <color theme="1"/>
      <name val="ＭＳ ゴシック"/>
      <family val="3"/>
      <charset val="128"/>
    </font>
    <font>
      <b/>
      <sz val="10"/>
      <color theme="1"/>
      <name val="ＭＳ Ｐゴシック"/>
      <family val="3"/>
      <charset val="128"/>
      <scheme val="minor"/>
    </font>
    <font>
      <sz val="11"/>
      <color theme="1"/>
      <name val="Arial"/>
      <family val="2"/>
    </font>
    <font>
      <sz val="10"/>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
      <sz val="11"/>
      <color rgb="FF0070C0"/>
      <name val="ＭＳ Ｐゴシック"/>
      <family val="2"/>
      <charset val="128"/>
      <scheme val="minor"/>
    </font>
    <font>
      <sz val="11"/>
      <color rgb="FF0070C0"/>
      <name val="ＭＳ ゴシック"/>
      <family val="3"/>
      <charset val="128"/>
    </font>
    <font>
      <b/>
      <sz val="11"/>
      <color rgb="FFFF0000"/>
      <name val="ＭＳ Ｐゴシック"/>
      <family val="2"/>
      <charset val="128"/>
      <scheme val="minor"/>
    </font>
    <font>
      <b/>
      <sz val="11"/>
      <color rgb="FF7030A0"/>
      <name val="ＭＳ Ｐゴシック"/>
      <family val="3"/>
      <charset val="128"/>
      <scheme val="minor"/>
    </font>
    <font>
      <sz val="11"/>
      <color rgb="FF00B050"/>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medium">
        <color indexed="64"/>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s>
  <cellStyleXfs count="16">
    <xf numFmtId="0" fontId="0" fillId="0" borderId="0">
      <alignment vertical="center"/>
    </xf>
    <xf numFmtId="0" fontId="16" fillId="0" borderId="0"/>
    <xf numFmtId="38" fontId="18" fillId="0" borderId="0" applyFont="0" applyFill="0" applyBorder="0" applyAlignment="0" applyProtection="0">
      <alignment vertical="center"/>
    </xf>
    <xf numFmtId="0" fontId="18" fillId="0" borderId="0">
      <alignment vertical="center"/>
    </xf>
    <xf numFmtId="183" fontId="27" fillId="0" borderId="0">
      <alignment vertical="top"/>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38" fontId="3" fillId="0" borderId="0" applyFon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52" fillId="0" borderId="0" applyNumberFormat="0" applyFill="0" applyBorder="0" applyAlignment="0" applyProtection="0">
      <alignment vertical="top"/>
      <protection locked="0"/>
    </xf>
    <xf numFmtId="0" fontId="3" fillId="0" borderId="0">
      <alignment vertical="center"/>
    </xf>
    <xf numFmtId="38" fontId="16" fillId="0" borderId="0" applyFont="0" applyFill="0" applyBorder="0" applyAlignment="0" applyProtection="0"/>
    <xf numFmtId="0" fontId="16" fillId="0" borderId="0">
      <alignment vertical="center"/>
    </xf>
  </cellStyleXfs>
  <cellXfs count="806">
    <xf numFmtId="0" fontId="0" fillId="0" borderId="0" xfId="0">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wrapText="1"/>
    </xf>
    <xf numFmtId="178" fontId="11" fillId="0" borderId="0" xfId="0" applyNumberFormat="1" applyFont="1" applyAlignment="1">
      <alignment horizontal="left" vertical="center" indent="1"/>
    </xf>
    <xf numFmtId="179" fontId="12" fillId="0" borderId="0" xfId="0" applyNumberFormat="1"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6" fillId="0" borderId="11" xfId="0" applyFont="1" applyBorder="1" applyAlignment="1">
      <alignment horizontal="center" vertical="center"/>
    </xf>
    <xf numFmtId="0" fontId="21"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182" fontId="19" fillId="2" borderId="0" xfId="0" applyNumberFormat="1" applyFont="1" applyFill="1" applyAlignment="1">
      <alignment horizontal="center" vertical="center"/>
    </xf>
    <xf numFmtId="0" fontId="19" fillId="2" borderId="0" xfId="0" applyFont="1" applyFill="1" applyAlignment="1">
      <alignment horizontal="center" vertical="center"/>
    </xf>
    <xf numFmtId="0" fontId="23" fillId="2" borderId="11" xfId="0" applyFont="1" applyFill="1" applyBorder="1" applyAlignment="1">
      <alignment horizontal="center" vertical="center"/>
    </xf>
    <xf numFmtId="182" fontId="24" fillId="2" borderId="11" xfId="0" applyNumberFormat="1" applyFont="1" applyFill="1" applyBorder="1" applyAlignment="1">
      <alignment horizontal="center" vertical="center"/>
    </xf>
    <xf numFmtId="0" fontId="26" fillId="2" borderId="0" xfId="0" applyFont="1" applyFill="1">
      <alignment vertical="center"/>
    </xf>
    <xf numFmtId="0" fontId="23" fillId="2" borderId="0" xfId="0" applyFont="1" applyFill="1">
      <alignment vertical="center"/>
    </xf>
    <xf numFmtId="0" fontId="28" fillId="0" borderId="5" xfId="0" applyFont="1" applyBorder="1" applyAlignment="1">
      <alignment horizontal="justify" vertical="center"/>
    </xf>
    <xf numFmtId="0" fontId="25" fillId="2" borderId="0" xfId="0" applyFont="1" applyFill="1" applyAlignment="1">
      <alignment horizontal="left" vertical="center"/>
    </xf>
    <xf numFmtId="0" fontId="22" fillId="2" borderId="0" xfId="0" applyFont="1" applyFill="1" applyAlignment="1">
      <alignment horizontal="left" vertical="center"/>
    </xf>
    <xf numFmtId="0" fontId="28" fillId="2" borderId="1" xfId="0" applyFont="1" applyFill="1" applyBorder="1" applyAlignment="1">
      <alignment horizontal="center" vertical="center"/>
    </xf>
    <xf numFmtId="182" fontId="24" fillId="2" borderId="0" xfId="0" applyNumberFormat="1" applyFont="1" applyFill="1" applyAlignment="1">
      <alignment horizontal="center" vertical="center"/>
    </xf>
    <xf numFmtId="0" fontId="28" fillId="0" borderId="1" xfId="0" applyFont="1" applyBorder="1" applyAlignment="1">
      <alignment horizontal="justify" vertical="center"/>
    </xf>
    <xf numFmtId="0" fontId="18" fillId="0" borderId="0" xfId="3">
      <alignment vertical="center"/>
    </xf>
    <xf numFmtId="0" fontId="18" fillId="0" borderId="0" xfId="3" applyAlignment="1">
      <alignment horizontal="right"/>
    </xf>
    <xf numFmtId="0" fontId="30" fillId="0" borderId="0" xfId="3" applyFont="1">
      <alignment vertical="center"/>
    </xf>
    <xf numFmtId="0" fontId="10" fillId="0" borderId="0" xfId="3" applyFont="1" applyAlignment="1">
      <alignment vertical="center" wrapText="1"/>
    </xf>
    <xf numFmtId="0" fontId="18" fillId="0" borderId="0" xfId="3" applyAlignment="1">
      <alignment horizontal="center" vertical="center"/>
    </xf>
    <xf numFmtId="177" fontId="18" fillId="0" borderId="0" xfId="3" applyNumberFormat="1">
      <alignment vertical="center"/>
    </xf>
    <xf numFmtId="0" fontId="31" fillId="0" borderId="0" xfId="3" applyFont="1">
      <alignment vertical="center"/>
    </xf>
    <xf numFmtId="0" fontId="18" fillId="0" borderId="1" xfId="3" applyBorder="1" applyAlignment="1">
      <alignment horizontal="center" vertical="center"/>
    </xf>
    <xf numFmtId="0" fontId="18" fillId="0" borderId="1" xfId="3" applyBorder="1">
      <alignment vertical="center"/>
    </xf>
    <xf numFmtId="0" fontId="31" fillId="0" borderId="0" xfId="0" applyFont="1">
      <alignment vertical="center"/>
    </xf>
    <xf numFmtId="0" fontId="33" fillId="0" borderId="6" xfId="0" applyFont="1" applyBorder="1" applyAlignment="1">
      <alignment vertical="center" wrapText="1" readingOrder="1"/>
    </xf>
    <xf numFmtId="0" fontId="33" fillId="0" borderId="2" xfId="0" applyFont="1" applyBorder="1" applyAlignment="1">
      <alignment vertical="center" wrapText="1" readingOrder="1"/>
    </xf>
    <xf numFmtId="0" fontId="18" fillId="0" borderId="12" xfId="3" applyBorder="1">
      <alignment vertical="center"/>
    </xf>
    <xf numFmtId="0" fontId="0" fillId="0" borderId="12" xfId="0" applyBorder="1">
      <alignment vertical="center"/>
    </xf>
    <xf numFmtId="0" fontId="36" fillId="0" borderId="0" xfId="0" applyFont="1">
      <alignment vertical="center"/>
    </xf>
    <xf numFmtId="0" fontId="9" fillId="0" borderId="0" xfId="0" applyFont="1">
      <alignment vertical="center"/>
    </xf>
    <xf numFmtId="38" fontId="38" fillId="0" borderId="1" xfId="4" applyNumberFormat="1" applyFont="1" applyBorder="1" applyAlignment="1">
      <alignment horizontal="center" vertical="center" wrapText="1"/>
    </xf>
    <xf numFmtId="0" fontId="40" fillId="0" borderId="0" xfId="0" applyFont="1">
      <alignment vertical="center"/>
    </xf>
    <xf numFmtId="0" fontId="41" fillId="0" borderId="5" xfId="0" applyFont="1" applyBorder="1" applyAlignment="1">
      <alignment vertical="center" readingOrder="1"/>
    </xf>
    <xf numFmtId="0" fontId="0" fillId="0" borderId="1" xfId="0" applyBorder="1">
      <alignment vertical="center"/>
    </xf>
    <xf numFmtId="0" fontId="37" fillId="0" borderId="3" xfId="0" applyFont="1" applyBorder="1" applyAlignment="1">
      <alignment horizontal="center" vertical="center" wrapText="1" readingOrder="1"/>
    </xf>
    <xf numFmtId="0" fontId="0" fillId="0" borderId="6" xfId="0" applyBorder="1">
      <alignment vertical="center"/>
    </xf>
    <xf numFmtId="0" fontId="0" fillId="0" borderId="3" xfId="0" applyBorder="1" applyAlignment="1">
      <alignment horizontal="center" vertical="center"/>
    </xf>
    <xf numFmtId="0" fontId="18" fillId="0" borderId="1" xfId="3" applyBorder="1" applyAlignment="1">
      <alignment horizontal="center" vertical="center" wrapText="1"/>
    </xf>
    <xf numFmtId="38" fontId="5" fillId="3" borderId="1" xfId="5" applyFont="1" applyFill="1" applyBorder="1" applyAlignment="1">
      <alignment horizontal="center" vertical="center"/>
    </xf>
    <xf numFmtId="0" fontId="19" fillId="0" borderId="1" xfId="3" applyFont="1" applyBorder="1" applyAlignment="1">
      <alignment horizontal="center" vertical="center"/>
    </xf>
    <xf numFmtId="182" fontId="5" fillId="0" borderId="1" xfId="3" applyNumberFormat="1" applyFont="1" applyBorder="1" applyAlignment="1">
      <alignment horizontal="center" vertical="center"/>
    </xf>
    <xf numFmtId="0" fontId="42" fillId="0" borderId="1" xfId="3" applyFont="1" applyBorder="1" applyAlignment="1">
      <alignment horizontal="left" vertical="center" wrapText="1"/>
    </xf>
    <xf numFmtId="0" fontId="42" fillId="0" borderId="1" xfId="3" applyFont="1" applyBorder="1" applyAlignment="1">
      <alignment horizontal="justify" vertical="center"/>
    </xf>
    <xf numFmtId="182" fontId="27" fillId="0" borderId="1" xfId="3" applyNumberFormat="1" applyFont="1" applyBorder="1" applyAlignment="1">
      <alignment horizontal="center" vertical="center"/>
    </xf>
    <xf numFmtId="182" fontId="18" fillId="0" borderId="0" xfId="3" applyNumberFormat="1">
      <alignment vertical="center"/>
    </xf>
    <xf numFmtId="0" fontId="42" fillId="0" borderId="1" xfId="3" applyFont="1" applyBorder="1" applyAlignment="1">
      <alignment horizontal="center" vertical="center"/>
    </xf>
    <xf numFmtId="184" fontId="44" fillId="0" borderId="0" xfId="3" applyNumberFormat="1" applyFont="1">
      <alignment vertical="center"/>
    </xf>
    <xf numFmtId="0" fontId="42" fillId="0" borderId="2" xfId="3" applyFont="1" applyBorder="1">
      <alignment vertical="center"/>
    </xf>
    <xf numFmtId="0" fontId="42" fillId="0" borderId="6" xfId="3" applyFont="1" applyBorder="1">
      <alignment vertical="center"/>
    </xf>
    <xf numFmtId="0" fontId="45" fillId="0" borderId="5" xfId="3" applyFont="1" applyBorder="1" applyAlignment="1">
      <alignment horizontal="left" vertical="center"/>
    </xf>
    <xf numFmtId="0" fontId="18" fillId="0" borderId="0" xfId="7">
      <alignment vertical="center"/>
    </xf>
    <xf numFmtId="185" fontId="18" fillId="0" borderId="0" xfId="7" applyNumberFormat="1">
      <alignment vertical="center"/>
    </xf>
    <xf numFmtId="38" fontId="18" fillId="4" borderId="1" xfId="8" applyFont="1" applyFill="1" applyBorder="1" applyAlignment="1">
      <alignment horizontal="center" vertical="center"/>
    </xf>
    <xf numFmtId="182" fontId="18" fillId="4" borderId="1" xfId="3" applyNumberFormat="1" applyFill="1" applyBorder="1" applyAlignment="1">
      <alignment horizontal="center" vertical="center"/>
    </xf>
    <xf numFmtId="2" fontId="18" fillId="0" borderId="1" xfId="3" applyNumberFormat="1" applyBorder="1" applyAlignment="1">
      <alignment horizontal="center" vertical="center"/>
    </xf>
    <xf numFmtId="0" fontId="42" fillId="0" borderId="0" xfId="3" applyFont="1" applyAlignment="1">
      <alignment horizontal="center" vertical="center"/>
    </xf>
    <xf numFmtId="186" fontId="18" fillId="0" borderId="1" xfId="3" applyNumberFormat="1" applyBorder="1">
      <alignment vertical="center"/>
    </xf>
    <xf numFmtId="0" fontId="18" fillId="0" borderId="1" xfId="7" applyBorder="1">
      <alignment vertical="center"/>
    </xf>
    <xf numFmtId="0" fontId="18" fillId="0" borderId="1" xfId="7" applyBorder="1" applyAlignment="1">
      <alignment horizontal="center" vertical="center"/>
    </xf>
    <xf numFmtId="0" fontId="18" fillId="0" borderId="1" xfId="7" applyBorder="1" applyAlignment="1">
      <alignment vertical="center" wrapText="1"/>
    </xf>
    <xf numFmtId="0" fontId="18" fillId="0" borderId="1" xfId="7" applyBorder="1" applyAlignment="1">
      <alignment horizontal="center" vertical="center" wrapText="1"/>
    </xf>
    <xf numFmtId="0" fontId="42" fillId="0" borderId="1" xfId="7" applyFont="1" applyBorder="1" applyAlignment="1">
      <alignment horizontal="center" vertical="center"/>
    </xf>
    <xf numFmtId="0" fontId="18" fillId="0" borderId="0" xfId="7" applyAlignment="1">
      <alignment horizontal="center" vertical="center"/>
    </xf>
    <xf numFmtId="0" fontId="42" fillId="0" borderId="1" xfId="7" applyFont="1" applyBorder="1" applyAlignment="1">
      <alignment horizontal="left" vertical="center"/>
    </xf>
    <xf numFmtId="0" fontId="13" fillId="0" borderId="1" xfId="0" applyFont="1" applyBorder="1" applyAlignment="1">
      <alignment horizontal="right" vertical="center"/>
    </xf>
    <xf numFmtId="38" fontId="13" fillId="0" borderId="1" xfId="2" applyFont="1" applyBorder="1" applyAlignment="1">
      <alignment horizontal="right" vertical="center"/>
    </xf>
    <xf numFmtId="0" fontId="16" fillId="0" borderId="0" xfId="10">
      <alignment vertical="center"/>
    </xf>
    <xf numFmtId="0" fontId="16" fillId="0" borderId="0" xfId="10" quotePrefix="1">
      <alignment vertical="center"/>
    </xf>
    <xf numFmtId="38" fontId="0" fillId="0" borderId="0" xfId="11" applyFont="1">
      <alignment vertical="center"/>
    </xf>
    <xf numFmtId="0" fontId="16" fillId="2" borderId="0" xfId="10" applyFill="1" applyAlignment="1">
      <alignment vertical="center" wrapText="1"/>
    </xf>
    <xf numFmtId="0" fontId="16" fillId="2" borderId="0" xfId="10" applyFill="1" applyAlignment="1">
      <alignment horizontal="right" vertical="center"/>
    </xf>
    <xf numFmtId="0" fontId="16" fillId="2" borderId="0" xfId="10" applyFill="1" applyAlignment="1">
      <alignment horizontal="right" vertical="center" indent="2"/>
    </xf>
    <xf numFmtId="0" fontId="16" fillId="2" borderId="23" xfId="10" applyFill="1" applyBorder="1" applyAlignment="1">
      <alignment horizontal="left" vertical="center" wrapText="1"/>
    </xf>
    <xf numFmtId="0" fontId="16" fillId="2" borderId="24" xfId="10" applyFill="1" applyBorder="1" applyAlignment="1">
      <alignment horizontal="left" vertical="center" wrapText="1"/>
    </xf>
    <xf numFmtId="0" fontId="16" fillId="2" borderId="25" xfId="10" applyFill="1" applyBorder="1" applyAlignment="1">
      <alignment horizontal="left" vertical="center" wrapText="1"/>
    </xf>
    <xf numFmtId="0" fontId="16" fillId="2" borderId="26" xfId="10" applyFill="1" applyBorder="1" applyAlignment="1">
      <alignment horizontal="left" vertical="center" wrapText="1"/>
    </xf>
    <xf numFmtId="0" fontId="16" fillId="2" borderId="27" xfId="10" applyFill="1" applyBorder="1" applyAlignment="1">
      <alignment horizontal="left" vertical="center" wrapText="1"/>
    </xf>
    <xf numFmtId="9" fontId="16" fillId="2" borderId="28"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3" fontId="16" fillId="2" borderId="29" xfId="10" applyNumberFormat="1" applyFill="1" applyBorder="1" applyAlignment="1">
      <alignment horizontal="right" vertical="center" wrapText="1"/>
    </xf>
    <xf numFmtId="0" fontId="16" fillId="2" borderId="30" xfId="10" applyFill="1" applyBorder="1" applyAlignment="1">
      <alignment horizontal="right" vertical="center" wrapText="1"/>
    </xf>
    <xf numFmtId="0" fontId="16" fillId="2" borderId="31" xfId="10" applyFill="1" applyBorder="1" applyAlignment="1">
      <alignment vertical="center" shrinkToFit="1"/>
    </xf>
    <xf numFmtId="0" fontId="16" fillId="0" borderId="0" xfId="10" applyAlignment="1">
      <alignment horizontal="center" vertical="center"/>
    </xf>
    <xf numFmtId="0" fontId="16" fillId="2" borderId="33" xfId="10" applyFill="1" applyBorder="1" applyAlignment="1">
      <alignment horizontal="left" vertical="center" wrapText="1"/>
    </xf>
    <xf numFmtId="188" fontId="16" fillId="2" borderId="34" xfId="10" applyNumberFormat="1" applyFill="1" applyBorder="1" applyAlignment="1">
      <alignment horizontal="left" vertical="center" wrapText="1"/>
    </xf>
    <xf numFmtId="0" fontId="16" fillId="2" borderId="34" xfId="10" applyFill="1" applyBorder="1" applyAlignment="1">
      <alignment horizontal="left" vertical="center" wrapText="1"/>
    </xf>
    <xf numFmtId="0" fontId="16" fillId="2" borderId="35" xfId="10" applyFill="1" applyBorder="1" applyAlignment="1">
      <alignment horizontal="left" vertical="center" wrapText="1"/>
    </xf>
    <xf numFmtId="188" fontId="49" fillId="2" borderId="36" xfId="10" applyNumberFormat="1" applyFont="1" applyFill="1" applyBorder="1" applyAlignment="1">
      <alignment horizontal="left" vertical="center" wrapText="1"/>
    </xf>
    <xf numFmtId="0" fontId="16" fillId="2" borderId="37" xfId="10" applyFill="1" applyBorder="1" applyAlignment="1">
      <alignment horizontal="left" vertical="center" wrapText="1"/>
    </xf>
    <xf numFmtId="3" fontId="16" fillId="2" borderId="40" xfId="10" applyNumberFormat="1" applyFill="1" applyBorder="1" applyAlignment="1">
      <alignment horizontal="right" vertical="center" wrapText="1"/>
    </xf>
    <xf numFmtId="0" fontId="16" fillId="2" borderId="41" xfId="10" applyFill="1" applyBorder="1" applyAlignment="1">
      <alignment horizontal="right" vertical="center" wrapText="1"/>
    </xf>
    <xf numFmtId="0" fontId="16" fillId="2" borderId="42" xfId="10" applyFill="1" applyBorder="1" applyAlignment="1">
      <alignment horizontal="center" vertical="center" wrapText="1"/>
    </xf>
    <xf numFmtId="0" fontId="16" fillId="2" borderId="42" xfId="10" applyFill="1" applyBorder="1" applyAlignment="1">
      <alignment vertical="center" shrinkToFit="1"/>
    </xf>
    <xf numFmtId="0" fontId="16" fillId="4" borderId="12" xfId="10" applyFill="1" applyBorder="1">
      <alignment vertical="center"/>
    </xf>
    <xf numFmtId="188" fontId="16" fillId="0" borderId="0" xfId="10" applyNumberFormat="1">
      <alignment vertical="center"/>
    </xf>
    <xf numFmtId="188" fontId="16" fillId="2" borderId="33" xfId="10" applyNumberFormat="1" applyFill="1" applyBorder="1" applyAlignment="1">
      <alignment horizontal="left" vertical="center" wrapText="1"/>
    </xf>
    <xf numFmtId="0" fontId="49" fillId="2" borderId="36" xfId="10" applyFont="1" applyFill="1" applyBorder="1" applyAlignment="1">
      <alignment horizontal="left" vertical="center" wrapText="1"/>
    </xf>
    <xf numFmtId="17" fontId="16" fillId="0" borderId="0" xfId="10" quotePrefix="1" applyNumberFormat="1" applyAlignment="1">
      <alignment horizontal="center" vertical="center"/>
    </xf>
    <xf numFmtId="184" fontId="16" fillId="2" borderId="34" xfId="10" applyNumberFormat="1" applyFill="1" applyBorder="1" applyAlignment="1">
      <alignment horizontal="left" vertical="center" wrapText="1"/>
    </xf>
    <xf numFmtId="38" fontId="0" fillId="4" borderId="12" xfId="11" applyFont="1" applyFill="1" applyBorder="1">
      <alignment vertical="center"/>
    </xf>
    <xf numFmtId="0" fontId="16" fillId="0" borderId="0" xfId="10" applyAlignment="1">
      <alignment horizontal="right" vertical="center"/>
    </xf>
    <xf numFmtId="9" fontId="16" fillId="2" borderId="45" xfId="10" applyNumberFormat="1" applyFill="1" applyBorder="1" applyAlignment="1">
      <alignment horizontal="center" vertical="center" wrapText="1"/>
    </xf>
    <xf numFmtId="9" fontId="16" fillId="2" borderId="37" xfId="10" applyNumberFormat="1" applyFill="1" applyBorder="1" applyAlignment="1">
      <alignment horizontal="center" vertical="center" wrapText="1"/>
    </xf>
    <xf numFmtId="184" fontId="49" fillId="2" borderId="36" xfId="10" applyNumberFormat="1" applyFont="1" applyFill="1" applyBorder="1" applyAlignment="1">
      <alignment horizontal="left" vertical="center" wrapText="1"/>
    </xf>
    <xf numFmtId="0" fontId="16" fillId="2" borderId="36" xfId="10" applyFill="1" applyBorder="1" applyAlignment="1">
      <alignment horizontal="left" vertical="center" wrapText="1"/>
    </xf>
    <xf numFmtId="0" fontId="16" fillId="2" borderId="40" xfId="10" applyFill="1" applyBorder="1" applyAlignment="1">
      <alignment horizontal="right" vertical="center" wrapText="1"/>
    </xf>
    <xf numFmtId="0" fontId="16" fillId="0" borderId="0" xfId="10" applyAlignment="1">
      <alignment horizontal="right" vertical="center" wrapText="1"/>
    </xf>
    <xf numFmtId="3" fontId="16" fillId="2" borderId="30" xfId="10" applyNumberFormat="1" applyFill="1" applyBorder="1" applyAlignment="1">
      <alignment horizontal="right" vertical="center" wrapText="1"/>
    </xf>
    <xf numFmtId="3" fontId="16" fillId="2" borderId="41" xfId="10" applyNumberFormat="1" applyFill="1" applyBorder="1" applyAlignment="1">
      <alignment horizontal="right" vertical="center" wrapText="1"/>
    </xf>
    <xf numFmtId="0" fontId="16" fillId="2" borderId="41" xfId="10" applyFill="1" applyBorder="1" applyAlignment="1">
      <alignment horizontal="justify" vertical="center" wrapText="1"/>
    </xf>
    <xf numFmtId="0" fontId="16" fillId="2" borderId="51" xfId="10" applyFill="1" applyBorder="1" applyAlignment="1">
      <alignment horizontal="center" vertical="center" wrapText="1"/>
    </xf>
    <xf numFmtId="0" fontId="16" fillId="2" borderId="51" xfId="10" applyFill="1" applyBorder="1" applyAlignment="1">
      <alignment horizontal="center" vertical="center" shrinkToFit="1"/>
    </xf>
    <xf numFmtId="9" fontId="16" fillId="2" borderId="55" xfId="10" applyNumberFormat="1" applyFill="1" applyBorder="1" applyAlignment="1">
      <alignment horizontal="center" vertical="center" wrapText="1"/>
    </xf>
    <xf numFmtId="9" fontId="16" fillId="2" borderId="56" xfId="10" applyNumberFormat="1" applyFill="1" applyBorder="1" applyAlignment="1">
      <alignment horizontal="center" vertical="center" wrapText="1"/>
    </xf>
    <xf numFmtId="0" fontId="16" fillId="2" borderId="42" xfId="10" applyFill="1" applyBorder="1" applyAlignment="1">
      <alignment horizontal="center" vertical="center" shrinkToFit="1"/>
    </xf>
    <xf numFmtId="0" fontId="16" fillId="2" borderId="0" xfId="10" applyFill="1">
      <alignment vertical="center"/>
    </xf>
    <xf numFmtId="0" fontId="28" fillId="2" borderId="0" xfId="10" applyFont="1" applyFill="1" applyAlignment="1">
      <alignment vertical="center" wrapText="1"/>
    </xf>
    <xf numFmtId="0" fontId="16" fillId="2" borderId="0" xfId="10" applyFill="1" applyAlignment="1">
      <alignment vertical="top" wrapText="1"/>
    </xf>
    <xf numFmtId="0" fontId="16" fillId="2" borderId="0" xfId="10" applyFill="1" applyAlignment="1">
      <alignment horizontal="left" vertical="center" indent="2"/>
    </xf>
    <xf numFmtId="0" fontId="28" fillId="2" borderId="1" xfId="10" applyFont="1" applyFill="1" applyBorder="1" applyAlignment="1">
      <alignment horizontal="center" vertical="center" wrapText="1"/>
    </xf>
    <xf numFmtId="0" fontId="28" fillId="2" borderId="3" xfId="10" applyFont="1" applyFill="1" applyBorder="1" applyAlignment="1">
      <alignment horizontal="center" vertical="center" wrapText="1"/>
    </xf>
    <xf numFmtId="0" fontId="16" fillId="2" borderId="0" xfId="10" applyFill="1" applyAlignment="1">
      <alignment horizontal="left" vertical="center" indent="1"/>
    </xf>
    <xf numFmtId="0" fontId="16" fillId="2" borderId="41" xfId="10" applyFill="1" applyBorder="1">
      <alignment vertical="center"/>
    </xf>
    <xf numFmtId="0" fontId="16" fillId="2" borderId="45" xfId="10" applyFill="1" applyBorder="1">
      <alignment vertical="center"/>
    </xf>
    <xf numFmtId="0" fontId="16" fillId="2" borderId="38" xfId="10" applyFill="1" applyBorder="1">
      <alignment vertical="center"/>
    </xf>
    <xf numFmtId="0" fontId="16" fillId="2" borderId="0" xfId="10" applyFill="1" applyAlignment="1">
      <alignment horizontal="center" vertical="center"/>
    </xf>
    <xf numFmtId="0" fontId="16" fillId="2" borderId="71" xfId="10" applyFill="1" applyBorder="1">
      <alignment vertical="center"/>
    </xf>
    <xf numFmtId="0" fontId="16" fillId="2" borderId="72" xfId="10" applyFill="1" applyBorder="1">
      <alignment vertical="center"/>
    </xf>
    <xf numFmtId="0" fontId="16" fillId="2" borderId="72" xfId="10" applyFill="1" applyBorder="1" applyAlignment="1">
      <alignment vertical="center" wrapText="1"/>
    </xf>
    <xf numFmtId="0" fontId="16" fillId="2" borderId="73" xfId="10" applyFill="1" applyBorder="1" applyAlignment="1">
      <alignment vertical="center" wrapText="1"/>
    </xf>
    <xf numFmtId="0" fontId="16" fillId="2" borderId="85" xfId="10" applyFill="1" applyBorder="1">
      <alignment vertical="center"/>
    </xf>
    <xf numFmtId="0" fontId="54" fillId="2" borderId="11" xfId="10" applyFont="1" applyFill="1" applyBorder="1">
      <alignment vertical="center"/>
    </xf>
    <xf numFmtId="0" fontId="16" fillId="2" borderId="78" xfId="10" applyFill="1" applyBorder="1">
      <alignment vertical="center"/>
    </xf>
    <xf numFmtId="0" fontId="16" fillId="2" borderId="20" xfId="10" applyFill="1" applyBorder="1">
      <alignment vertical="center"/>
    </xf>
    <xf numFmtId="0" fontId="16" fillId="2" borderId="20" xfId="10" applyFill="1" applyBorder="1" applyAlignment="1">
      <alignment vertical="center" wrapText="1"/>
    </xf>
    <xf numFmtId="0" fontId="16" fillId="2" borderId="19" xfId="10" applyFill="1" applyBorder="1" applyAlignment="1">
      <alignment vertical="center" wrapText="1"/>
    </xf>
    <xf numFmtId="0" fontId="55" fillId="2" borderId="0" xfId="10" applyFont="1" applyFill="1">
      <alignment vertical="center"/>
    </xf>
    <xf numFmtId="49" fontId="18" fillId="0" borderId="1" xfId="1" applyNumberFormat="1" applyFont="1" applyBorder="1" applyAlignment="1">
      <alignment vertical="center" wrapText="1"/>
    </xf>
    <xf numFmtId="0" fontId="0" fillId="0" borderId="0" xfId="3" applyFont="1" applyAlignment="1">
      <alignment horizontal="center" vertical="center"/>
    </xf>
    <xf numFmtId="189" fontId="18" fillId="0" borderId="13" xfId="2" applyNumberFormat="1" applyBorder="1">
      <alignment vertical="center"/>
    </xf>
    <xf numFmtId="190" fontId="18" fillId="0" borderId="13" xfId="3" applyNumberFormat="1" applyBorder="1" applyAlignment="1">
      <alignment horizontal="center" vertical="center"/>
    </xf>
    <xf numFmtId="191" fontId="18" fillId="0" borderId="13" xfId="3" applyNumberFormat="1" applyBorder="1">
      <alignment vertical="center"/>
    </xf>
    <xf numFmtId="192" fontId="56" fillId="0" borderId="13" xfId="0" applyNumberFormat="1" applyFont="1" applyBorder="1">
      <alignment vertical="center"/>
    </xf>
    <xf numFmtId="192" fontId="0" fillId="0" borderId="12" xfId="0" applyNumberFormat="1" applyBorder="1">
      <alignment vertical="center"/>
    </xf>
    <xf numFmtId="0" fontId="57" fillId="0" borderId="0" xfId="0" applyFont="1">
      <alignment vertical="center"/>
    </xf>
    <xf numFmtId="192" fontId="0" fillId="0" borderId="0" xfId="0" applyNumberFormat="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31" fillId="0" borderId="0" xfId="3" applyFont="1" applyAlignment="1">
      <alignment horizontal="center" vertical="center"/>
    </xf>
    <xf numFmtId="0" fontId="18" fillId="0" borderId="31" xfId="3" applyBorder="1">
      <alignment vertical="center"/>
    </xf>
    <xf numFmtId="189" fontId="18" fillId="0" borderId="88" xfId="2" applyNumberFormat="1" applyBorder="1">
      <alignment vertical="center"/>
    </xf>
    <xf numFmtId="190" fontId="18" fillId="0" borderId="89" xfId="3" applyNumberFormat="1" applyBorder="1" applyAlignment="1">
      <alignment horizontal="center" vertical="center"/>
    </xf>
    <xf numFmtId="191" fontId="18" fillId="0" borderId="89" xfId="3" applyNumberFormat="1" applyBorder="1">
      <alignment vertical="center"/>
    </xf>
    <xf numFmtId="189" fontId="18" fillId="0" borderId="17" xfId="2" applyNumberFormat="1" applyBorder="1">
      <alignment vertical="center"/>
    </xf>
    <xf numFmtId="190" fontId="18" fillId="0" borderId="17" xfId="3" applyNumberFormat="1" applyBorder="1" applyAlignment="1">
      <alignment horizontal="center" vertical="center"/>
    </xf>
    <xf numFmtId="191" fontId="18" fillId="0" borderId="17" xfId="3" applyNumberFormat="1" applyBorder="1">
      <alignment vertical="center"/>
    </xf>
    <xf numFmtId="192" fontId="56" fillId="0" borderId="17" xfId="0" applyNumberFormat="1" applyFont="1" applyBorder="1">
      <alignment vertical="center"/>
    </xf>
    <xf numFmtId="189" fontId="18" fillId="0" borderId="90" xfId="2" applyNumberFormat="1" applyBorder="1">
      <alignment vertical="center"/>
    </xf>
    <xf numFmtId="190" fontId="18" fillId="0" borderId="91" xfId="3" applyNumberFormat="1" applyBorder="1" applyAlignment="1">
      <alignment horizontal="center" vertical="center"/>
    </xf>
    <xf numFmtId="191" fontId="18" fillId="0" borderId="91" xfId="3" applyNumberFormat="1" applyBorder="1">
      <alignment vertical="center"/>
    </xf>
    <xf numFmtId="192" fontId="0" fillId="0" borderId="87" xfId="0" applyNumberFormat="1" applyBorder="1">
      <alignment vertical="center"/>
    </xf>
    <xf numFmtId="0" fontId="18" fillId="0" borderId="87" xfId="3" applyBorder="1">
      <alignment vertical="center"/>
    </xf>
    <xf numFmtId="0" fontId="58" fillId="0" borderId="87" xfId="3" applyFont="1" applyBorder="1">
      <alignment vertical="center"/>
    </xf>
    <xf numFmtId="0" fontId="0" fillId="0" borderId="87" xfId="0" applyBorder="1">
      <alignment vertical="center"/>
    </xf>
    <xf numFmtId="0" fontId="16" fillId="2" borderId="12" xfId="2" applyNumberFormat="1" applyFont="1" applyFill="1" applyBorder="1" applyAlignment="1">
      <alignment vertical="center"/>
    </xf>
    <xf numFmtId="0" fontId="59" fillId="0" borderId="77" xfId="0" applyFont="1" applyBorder="1" applyAlignment="1">
      <alignment horizontal="center" vertical="center" wrapText="1"/>
    </xf>
    <xf numFmtId="0" fontId="61" fillId="0" borderId="0" xfId="13" applyFont="1">
      <alignment vertical="center"/>
    </xf>
    <xf numFmtId="195" fontId="18" fillId="0" borderId="12" xfId="3" applyNumberFormat="1" applyBorder="1">
      <alignment vertical="center"/>
    </xf>
    <xf numFmtId="38" fontId="57" fillId="0" borderId="0" xfId="5" applyFont="1">
      <alignment vertical="center"/>
    </xf>
    <xf numFmtId="195" fontId="18" fillId="0" borderId="0" xfId="3" applyNumberFormat="1">
      <alignment vertical="center"/>
    </xf>
    <xf numFmtId="196" fontId="18" fillId="0" borderId="0" xfId="3" applyNumberFormat="1">
      <alignment vertical="center"/>
    </xf>
    <xf numFmtId="0" fontId="18" fillId="6" borderId="0" xfId="3" applyFill="1">
      <alignment vertical="center"/>
    </xf>
    <xf numFmtId="0" fontId="0" fillId="6" borderId="0" xfId="3" applyFont="1" applyFill="1" applyAlignment="1">
      <alignment horizontal="center" vertical="center"/>
    </xf>
    <xf numFmtId="197" fontId="0" fillId="6" borderId="0" xfId="3" applyNumberFormat="1" applyFont="1" applyFill="1" applyAlignment="1">
      <alignment horizontal="center" vertical="center"/>
    </xf>
    <xf numFmtId="0" fontId="18" fillId="6" borderId="0" xfId="3" applyFill="1" applyAlignment="1">
      <alignment horizontal="center" vertical="center"/>
    </xf>
    <xf numFmtId="0" fontId="0" fillId="6" borderId="0" xfId="3" applyFont="1" applyFill="1">
      <alignment vertical="center"/>
    </xf>
    <xf numFmtId="198" fontId="18" fillId="0" borderId="0" xfId="3" applyNumberFormat="1">
      <alignment vertical="center"/>
    </xf>
    <xf numFmtId="199" fontId="20" fillId="0" borderId="1" xfId="3" applyNumberFormat="1" applyFont="1" applyBorder="1">
      <alignment vertical="center"/>
    </xf>
    <xf numFmtId="176" fontId="20" fillId="0" borderId="1" xfId="3" applyNumberFormat="1" applyFont="1" applyBorder="1">
      <alignment vertical="center"/>
    </xf>
    <xf numFmtId="177" fontId="20" fillId="0" borderId="1" xfId="3" applyNumberFormat="1" applyFont="1" applyBorder="1">
      <alignment vertical="center"/>
    </xf>
    <xf numFmtId="0" fontId="20" fillId="0" borderId="1" xfId="3" applyFont="1" applyBorder="1" applyAlignment="1">
      <alignment horizontal="center" vertical="center"/>
    </xf>
    <xf numFmtId="0" fontId="20" fillId="0" borderId="1" xfId="3" applyFont="1" applyBorder="1">
      <alignment vertical="center"/>
    </xf>
    <xf numFmtId="0" fontId="20" fillId="0" borderId="2" xfId="3" applyFont="1" applyBorder="1">
      <alignment vertical="center"/>
    </xf>
    <xf numFmtId="200" fontId="18" fillId="0" borderId="1" xfId="3" applyNumberFormat="1" applyBorder="1">
      <alignment vertical="center"/>
    </xf>
    <xf numFmtId="199" fontId="18" fillId="0" borderId="1" xfId="3" applyNumberFormat="1" applyBorder="1">
      <alignment vertical="center"/>
    </xf>
    <xf numFmtId="176" fontId="18" fillId="0" borderId="1" xfId="3" applyNumberFormat="1" applyBorder="1">
      <alignment vertical="center"/>
    </xf>
    <xf numFmtId="201" fontId="18" fillId="0" borderId="1" xfId="3" applyNumberFormat="1" applyBorder="1">
      <alignment vertical="center"/>
    </xf>
    <xf numFmtId="202" fontId="18" fillId="0" borderId="2" xfId="3" applyNumberFormat="1" applyBorder="1">
      <alignment vertical="center"/>
    </xf>
    <xf numFmtId="0" fontId="18" fillId="0" borderId="0" xfId="3" applyAlignment="1">
      <alignment horizontal="right" vertical="center"/>
    </xf>
    <xf numFmtId="0" fontId="27" fillId="0" borderId="1" xfId="3" applyFont="1" applyBorder="1" applyAlignment="1">
      <alignment horizontal="center" vertical="center"/>
    </xf>
    <xf numFmtId="0" fontId="6" fillId="0" borderId="1" xfId="3" applyFont="1" applyBorder="1" applyAlignment="1">
      <alignment horizontal="center" vertical="center" wrapText="1"/>
    </xf>
    <xf numFmtId="0" fontId="5" fillId="0" borderId="1" xfId="3" applyFont="1" applyBorder="1" applyAlignment="1">
      <alignment horizontal="center" vertical="center" wrapText="1"/>
    </xf>
    <xf numFmtId="0" fontId="59" fillId="0" borderId="4" xfId="3" applyFont="1" applyBorder="1" applyAlignment="1">
      <alignment horizontal="center" vertical="center" wrapText="1"/>
    </xf>
    <xf numFmtId="0" fontId="62" fillId="0" borderId="0" xfId="3" applyFont="1">
      <alignment vertical="center"/>
    </xf>
    <xf numFmtId="0" fontId="63" fillId="0" borderId="0" xfId="0" applyFont="1" applyAlignment="1">
      <alignment vertical="center" wrapText="1"/>
    </xf>
    <xf numFmtId="177" fontId="0" fillId="0" borderId="0" xfId="0" applyNumberFormat="1" applyAlignment="1" applyProtection="1">
      <alignment horizontal="center" vertical="center"/>
      <protection locked="0"/>
    </xf>
    <xf numFmtId="0" fontId="0" fillId="0" borderId="0" xfId="0" applyAlignment="1">
      <alignment horizontal="right" vertical="center"/>
    </xf>
    <xf numFmtId="0" fontId="62" fillId="0" borderId="0" xfId="0" applyFont="1" applyAlignment="1">
      <alignment horizontal="center" vertical="center"/>
    </xf>
    <xf numFmtId="0" fontId="62" fillId="0" borderId="0" xfId="0" applyFont="1" applyAlignment="1">
      <alignment horizontal="left" vertical="center"/>
    </xf>
    <xf numFmtId="38" fontId="18" fillId="0" borderId="0" xfId="8" applyFont="1" applyFill="1">
      <alignment vertical="center"/>
    </xf>
    <xf numFmtId="0" fontId="6" fillId="0" borderId="0" xfId="3" applyFont="1" applyAlignment="1">
      <alignment horizontal="center" vertical="center" wrapText="1"/>
    </xf>
    <xf numFmtId="199" fontId="20" fillId="0" borderId="0" xfId="3" applyNumberFormat="1" applyFont="1">
      <alignment vertical="center"/>
    </xf>
    <xf numFmtId="199" fontId="18" fillId="0" borderId="0" xfId="3" applyNumberFormat="1">
      <alignment vertical="center"/>
    </xf>
    <xf numFmtId="0" fontId="58" fillId="0" borderId="0" xfId="3" applyFont="1" applyAlignment="1">
      <alignment horizontal="right"/>
    </xf>
    <xf numFmtId="0" fontId="67" fillId="0" borderId="0" xfId="0" applyFont="1">
      <alignment vertical="center"/>
    </xf>
    <xf numFmtId="0" fontId="16" fillId="0" borderId="0" xfId="15">
      <alignment vertical="center"/>
    </xf>
    <xf numFmtId="0" fontId="55" fillId="0" borderId="0" xfId="15" applyFont="1">
      <alignment vertical="center"/>
    </xf>
    <xf numFmtId="0" fontId="68" fillId="0" borderId="0" xfId="15" applyFont="1">
      <alignment vertical="center"/>
    </xf>
    <xf numFmtId="0" fontId="69" fillId="0" borderId="1" xfId="15" applyFont="1" applyBorder="1" applyAlignment="1">
      <alignment horizontal="center" vertical="center"/>
    </xf>
    <xf numFmtId="0" fontId="68" fillId="0" borderId="32" xfId="15" applyFont="1" applyBorder="1" applyAlignment="1">
      <alignment horizontal="center" vertical="center" wrapText="1"/>
    </xf>
    <xf numFmtId="0" fontId="68" fillId="0" borderId="1" xfId="15" applyFont="1" applyBorder="1" applyAlignment="1">
      <alignment horizontal="left" vertical="center"/>
    </xf>
    <xf numFmtId="0" fontId="68" fillId="0" borderId="1" xfId="15" applyFont="1" applyBorder="1" applyAlignment="1">
      <alignment horizontal="center" vertical="center"/>
    </xf>
    <xf numFmtId="203" fontId="68" fillId="0" borderId="1" xfId="15" applyNumberFormat="1" applyFont="1" applyBorder="1" applyAlignment="1">
      <alignment horizontal="center" vertical="center"/>
    </xf>
    <xf numFmtId="204" fontId="68" fillId="0" borderId="98" xfId="15" applyNumberFormat="1" applyFont="1" applyBorder="1" applyAlignment="1">
      <alignment vertical="center" shrinkToFit="1"/>
    </xf>
    <xf numFmtId="0" fontId="68" fillId="0" borderId="32" xfId="15" applyFont="1" applyBorder="1" applyAlignment="1">
      <alignment horizontal="center" vertical="center"/>
    </xf>
    <xf numFmtId="0" fontId="68" fillId="0" borderId="1" xfId="15" applyFont="1" applyBorder="1">
      <alignment vertical="center"/>
    </xf>
    <xf numFmtId="204" fontId="68" fillId="0" borderId="98" xfId="15" applyNumberFormat="1" applyFont="1" applyBorder="1">
      <alignment vertical="center"/>
    </xf>
    <xf numFmtId="0" fontId="16" fillId="0" borderId="1" xfId="15" applyBorder="1">
      <alignment vertical="center"/>
    </xf>
    <xf numFmtId="0" fontId="16" fillId="0" borderId="1" xfId="15" applyBorder="1" applyAlignment="1">
      <alignment horizontal="center" vertical="center"/>
    </xf>
    <xf numFmtId="204" fontId="16" fillId="0" borderId="98" xfId="15" applyNumberFormat="1" applyBorder="1">
      <alignment vertical="center"/>
    </xf>
    <xf numFmtId="203" fontId="16" fillId="0" borderId="1" xfId="15" applyNumberFormat="1" applyBorder="1" applyAlignment="1">
      <alignment horizontal="center" vertical="center"/>
    </xf>
    <xf numFmtId="0" fontId="68" fillId="0" borderId="48" xfId="15" applyFont="1" applyBorder="1" applyAlignment="1">
      <alignment horizontal="center" vertical="center" wrapText="1"/>
    </xf>
    <xf numFmtId="0" fontId="16" fillId="0" borderId="4" xfId="15" applyBorder="1">
      <alignment vertical="center"/>
    </xf>
    <xf numFmtId="0" fontId="68" fillId="0" borderId="4" xfId="15" applyFont="1" applyBorder="1" applyAlignment="1">
      <alignment horizontal="center" vertical="center"/>
    </xf>
    <xf numFmtId="0" fontId="16" fillId="0" borderId="4" xfId="15" applyBorder="1" applyAlignment="1">
      <alignment horizontal="center" vertical="center"/>
    </xf>
    <xf numFmtId="203" fontId="16" fillId="0" borderId="4" xfId="15" applyNumberFormat="1" applyBorder="1" applyAlignment="1">
      <alignment horizontal="center" vertical="center"/>
    </xf>
    <xf numFmtId="204" fontId="16" fillId="0" borderId="99" xfId="15" applyNumberFormat="1" applyBorder="1">
      <alignment vertical="center"/>
    </xf>
    <xf numFmtId="0" fontId="68" fillId="0" borderId="46" xfId="15" applyFont="1" applyBorder="1" applyAlignment="1">
      <alignment horizontal="center" vertical="center" wrapText="1"/>
    </xf>
    <xf numFmtId="0" fontId="16" fillId="0" borderId="100" xfId="15" applyBorder="1">
      <alignment vertical="center"/>
    </xf>
    <xf numFmtId="0" fontId="68" fillId="0" borderId="100" xfId="15" applyFont="1" applyBorder="1" applyAlignment="1">
      <alignment horizontal="center" vertical="center"/>
    </xf>
    <xf numFmtId="0" fontId="16" fillId="0" borderId="100" xfId="15" applyBorder="1" applyAlignment="1">
      <alignment horizontal="center" vertical="center"/>
    </xf>
    <xf numFmtId="203" fontId="16" fillId="0" borderId="100" xfId="15" applyNumberFormat="1" applyBorder="1" applyAlignment="1">
      <alignment horizontal="center" vertical="center"/>
    </xf>
    <xf numFmtId="204" fontId="16" fillId="0" borderId="97" xfId="15" applyNumberFormat="1" applyBorder="1">
      <alignment vertical="center"/>
    </xf>
    <xf numFmtId="0" fontId="16" fillId="0" borderId="32" xfId="15" applyBorder="1">
      <alignment vertical="center"/>
    </xf>
    <xf numFmtId="0" fontId="16" fillId="0" borderId="98" xfId="15" applyBorder="1">
      <alignment vertical="center"/>
    </xf>
    <xf numFmtId="0" fontId="16" fillId="0" borderId="22" xfId="15" applyBorder="1">
      <alignment vertical="center"/>
    </xf>
    <xf numFmtId="0" fontId="16" fillId="0" borderId="101" xfId="15" applyBorder="1">
      <alignment vertical="center"/>
    </xf>
    <xf numFmtId="203" fontId="16" fillId="0" borderId="101" xfId="15" applyNumberFormat="1" applyBorder="1">
      <alignment vertical="center"/>
    </xf>
    <xf numFmtId="0" fontId="16" fillId="0" borderId="99" xfId="15" applyBorder="1">
      <alignment vertical="center"/>
    </xf>
    <xf numFmtId="0" fontId="70" fillId="0" borderId="0" xfId="3" applyFont="1">
      <alignment vertical="center"/>
    </xf>
    <xf numFmtId="196" fontId="18" fillId="0" borderId="0" xfId="3" applyNumberFormat="1" applyAlignment="1">
      <alignment horizontal="center" vertical="center"/>
    </xf>
    <xf numFmtId="0" fontId="68" fillId="0" borderId="101" xfId="15" applyFont="1" applyBorder="1" applyAlignment="1">
      <alignment horizontal="center" vertical="center"/>
    </xf>
    <xf numFmtId="0" fontId="68" fillId="0" borderId="3" xfId="15" applyFont="1" applyBorder="1" applyAlignment="1">
      <alignment horizontal="center" vertical="center"/>
    </xf>
    <xf numFmtId="0" fontId="0" fillId="0" borderId="0" xfId="0" applyAlignment="1" applyProtection="1">
      <alignment horizontal="center" vertical="center"/>
      <protection locked="0"/>
    </xf>
    <xf numFmtId="0" fontId="36" fillId="0" borderId="0" xfId="0" applyFont="1" applyAlignment="1">
      <alignment horizontal="center" vertical="center"/>
    </xf>
    <xf numFmtId="178" fontId="11" fillId="0" borderId="0" xfId="0" applyNumberFormat="1" applyFont="1" applyAlignment="1">
      <alignment horizontal="center" vertical="center"/>
    </xf>
    <xf numFmtId="0" fontId="72" fillId="0" borderId="1" xfId="0" applyFont="1" applyBorder="1" applyAlignment="1">
      <alignment horizontal="center" vertical="center"/>
    </xf>
    <xf numFmtId="0" fontId="16" fillId="0" borderId="1" xfId="10" applyBorder="1">
      <alignment vertical="center"/>
    </xf>
    <xf numFmtId="0" fontId="2" fillId="0" borderId="1" xfId="10" applyFont="1" applyBorder="1" applyAlignment="1">
      <alignment horizontal="center" vertical="center"/>
    </xf>
    <xf numFmtId="184" fontId="72" fillId="0" borderId="1" xfId="10" applyNumberFormat="1" applyFont="1" applyBorder="1">
      <alignment vertical="center"/>
    </xf>
    <xf numFmtId="2" fontId="72" fillId="0" borderId="1" xfId="10" applyNumberFormat="1" applyFont="1" applyBorder="1">
      <alignment vertical="center"/>
    </xf>
    <xf numFmtId="184" fontId="16" fillId="0" borderId="1" xfId="10" applyNumberFormat="1" applyBorder="1">
      <alignment vertical="center"/>
    </xf>
    <xf numFmtId="184" fontId="72" fillId="0" borderId="0" xfId="10" applyNumberFormat="1" applyFont="1" applyAlignment="1">
      <alignment horizontal="center" vertical="center"/>
    </xf>
    <xf numFmtId="0" fontId="73" fillId="0" borderId="0" xfId="10" applyFont="1" applyAlignment="1">
      <alignment horizontal="center" vertical="center"/>
    </xf>
    <xf numFmtId="0" fontId="2" fillId="0" borderId="0" xfId="10" applyFont="1" applyAlignment="1">
      <alignment horizontal="center" vertical="center"/>
    </xf>
    <xf numFmtId="184" fontId="71" fillId="0" borderId="95" xfId="10" applyNumberFormat="1" applyFont="1" applyBorder="1" applyAlignment="1">
      <alignment horizontal="center" vertical="center"/>
    </xf>
    <xf numFmtId="184" fontId="16" fillId="0" borderId="100" xfId="10" applyNumberFormat="1" applyBorder="1">
      <alignment vertical="center"/>
    </xf>
    <xf numFmtId="2" fontId="16" fillId="0" borderId="100" xfId="10" applyNumberFormat="1" applyBorder="1">
      <alignment vertical="center"/>
    </xf>
    <xf numFmtId="184" fontId="19" fillId="0" borderId="12" xfId="10" applyNumberFormat="1" applyFont="1" applyBorder="1" applyAlignment="1">
      <alignment horizontal="center" vertical="center"/>
    </xf>
    <xf numFmtId="184" fontId="16" fillId="0" borderId="2" xfId="10" applyNumberFormat="1" applyBorder="1">
      <alignment vertical="center"/>
    </xf>
    <xf numFmtId="2" fontId="16" fillId="0" borderId="1" xfId="10" applyNumberFormat="1" applyBorder="1">
      <alignment vertical="center"/>
    </xf>
    <xf numFmtId="184" fontId="16" fillId="0" borderId="98" xfId="10" applyNumberFormat="1" applyBorder="1">
      <alignment vertical="center"/>
    </xf>
    <xf numFmtId="184" fontId="71" fillId="0" borderId="105" xfId="10" applyNumberFormat="1" applyFont="1" applyBorder="1" applyAlignment="1">
      <alignment horizontal="center" vertical="center"/>
    </xf>
    <xf numFmtId="184" fontId="16" fillId="0" borderId="101" xfId="10" applyNumberFormat="1" applyBorder="1">
      <alignment vertical="center"/>
    </xf>
    <xf numFmtId="2" fontId="16" fillId="0" borderId="101" xfId="10" applyNumberFormat="1" applyBorder="1">
      <alignment vertical="center"/>
    </xf>
    <xf numFmtId="184" fontId="16" fillId="0" borderId="0" xfId="10" applyNumberFormat="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right" vertical="center"/>
    </xf>
    <xf numFmtId="38" fontId="13" fillId="0" borderId="2" xfId="2" applyFont="1" applyBorder="1" applyAlignment="1">
      <alignment horizontal="right" vertical="center"/>
    </xf>
    <xf numFmtId="0" fontId="58" fillId="0" borderId="0" xfId="0" applyFont="1">
      <alignment vertical="center"/>
    </xf>
    <xf numFmtId="0" fontId="6" fillId="0" borderId="5" xfId="0" applyFont="1" applyBorder="1" applyProtection="1">
      <alignment vertical="center"/>
      <protection locked="0"/>
    </xf>
    <xf numFmtId="0" fontId="6" fillId="0" borderId="1"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2" fontId="18" fillId="0" borderId="1" xfId="7" applyNumberFormat="1" applyBorder="1" applyAlignment="1">
      <alignment vertical="center" wrapText="1"/>
    </xf>
    <xf numFmtId="2" fontId="18" fillId="0" borderId="1" xfId="7" applyNumberFormat="1" applyBorder="1">
      <alignment vertical="center"/>
    </xf>
    <xf numFmtId="49" fontId="49" fillId="0" borderId="85" xfId="0" applyNumberFormat="1" applyFont="1" applyBorder="1" applyAlignment="1">
      <alignment vertical="center" shrinkToFit="1"/>
    </xf>
    <xf numFmtId="0" fontId="49" fillId="0" borderId="85" xfId="3" applyFont="1" applyBorder="1" applyAlignment="1">
      <alignment vertical="center" shrinkToFit="1"/>
    </xf>
    <xf numFmtId="185" fontId="16" fillId="0" borderId="0" xfId="10" applyNumberFormat="1">
      <alignment vertical="center"/>
    </xf>
    <xf numFmtId="184" fontId="18" fillId="0" borderId="1" xfId="3" applyNumberFormat="1" applyBorder="1">
      <alignment vertical="center"/>
    </xf>
    <xf numFmtId="182" fontId="18" fillId="0" borderId="1" xfId="3" applyNumberFormat="1" applyBorder="1">
      <alignment vertical="center"/>
    </xf>
    <xf numFmtId="0" fontId="6" fillId="0" borderId="1" xfId="3"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1" xfId="0" applyFont="1" applyBorder="1" applyAlignment="1">
      <alignment horizontal="center" vertical="center"/>
    </xf>
    <xf numFmtId="0" fontId="0" fillId="0" borderId="3" xfId="0" applyBorder="1" applyAlignment="1" applyProtection="1">
      <alignment horizontal="center" vertical="center"/>
      <protection locked="0"/>
    </xf>
    <xf numFmtId="181" fontId="73" fillId="0" borderId="3" xfId="0" applyNumberFormat="1" applyFont="1" applyBorder="1" applyAlignment="1" applyProtection="1">
      <alignment horizontal="right" vertical="center" indent="1"/>
      <protection locked="0"/>
    </xf>
    <xf numFmtId="181" fontId="73" fillId="0" borderId="7" xfId="0" applyNumberFormat="1" applyFont="1" applyBorder="1" applyAlignment="1" applyProtection="1">
      <alignment horizontal="right" vertical="center" indent="1"/>
      <protection locked="0"/>
    </xf>
    <xf numFmtId="181" fontId="73" fillId="0" borderId="1" xfId="0" applyNumberFormat="1" applyFont="1" applyBorder="1" applyAlignment="1">
      <alignment horizontal="right" vertical="center" indent="1"/>
    </xf>
    <xf numFmtId="0" fontId="0" fillId="0" borderId="5" xfId="0" applyBorder="1" applyAlignment="1">
      <alignment horizontal="right" vertical="center"/>
    </xf>
    <xf numFmtId="0" fontId="0" fillId="0" borderId="1" xfId="0" applyBorder="1" applyAlignment="1" applyProtection="1">
      <alignment horizontal="center" vertical="center"/>
      <protection locked="0"/>
    </xf>
    <xf numFmtId="0" fontId="0" fillId="0" borderId="1" xfId="3" applyFont="1" applyBorder="1">
      <alignment vertical="center"/>
    </xf>
    <xf numFmtId="192" fontId="18" fillId="0" borderId="1" xfId="3" applyNumberFormat="1" applyBorder="1">
      <alignment vertical="center"/>
    </xf>
    <xf numFmtId="192" fontId="18" fillId="0" borderId="4" xfId="3" applyNumberFormat="1" applyBorder="1">
      <alignment vertical="center"/>
    </xf>
    <xf numFmtId="49" fontId="6" fillId="0" borderId="77" xfId="1" applyNumberFormat="1" applyFont="1" applyBorder="1" applyAlignment="1">
      <alignment vertical="center" wrapText="1"/>
    </xf>
    <xf numFmtId="38" fontId="6" fillId="0" borderId="77" xfId="2" applyFont="1" applyBorder="1" applyAlignment="1">
      <alignment vertical="center" wrapText="1"/>
    </xf>
    <xf numFmtId="38" fontId="6" fillId="0" borderId="8" xfId="2" applyFont="1" applyBorder="1" applyAlignment="1">
      <alignment horizontal="right" vertical="center" wrapText="1"/>
    </xf>
    <xf numFmtId="194" fontId="6" fillId="0" borderId="12" xfId="1" applyNumberFormat="1" applyFont="1" applyBorder="1" applyAlignment="1">
      <alignment vertical="center" wrapText="1"/>
    </xf>
    <xf numFmtId="192" fontId="6" fillId="0" borderId="3" xfId="3" applyNumberFormat="1" applyFont="1" applyBorder="1">
      <alignment vertical="center"/>
    </xf>
    <xf numFmtId="49" fontId="6" fillId="0" borderId="5" xfId="1" applyNumberFormat="1" applyFont="1" applyBorder="1" applyAlignment="1">
      <alignment horizontal="right" vertical="center" wrapText="1"/>
    </xf>
    <xf numFmtId="0" fontId="6" fillId="0" borderId="3" xfId="0" applyFont="1" applyBorder="1" applyAlignment="1">
      <alignment horizontal="center" vertical="center"/>
    </xf>
    <xf numFmtId="192" fontId="6" fillId="0" borderId="1" xfId="3" applyNumberFormat="1" applyFont="1" applyBorder="1">
      <alignment vertical="center"/>
    </xf>
    <xf numFmtId="0" fontId="6" fillId="0" borderId="0" xfId="3" applyFont="1" applyAlignment="1">
      <alignment horizontal="center" vertical="center"/>
    </xf>
    <xf numFmtId="0" fontId="6" fillId="0" borderId="0" xfId="3" applyFont="1">
      <alignment vertical="center"/>
    </xf>
    <xf numFmtId="0" fontId="6" fillId="0" borderId="77" xfId="3" applyFont="1" applyBorder="1" applyAlignment="1">
      <alignment horizontal="right" vertical="center"/>
    </xf>
    <xf numFmtId="192" fontId="6" fillId="0" borderId="4" xfId="3" applyNumberFormat="1" applyFont="1" applyBorder="1">
      <alignment vertical="center"/>
    </xf>
    <xf numFmtId="49" fontId="6" fillId="0" borderId="0" xfId="1" applyNumberFormat="1" applyFont="1" applyAlignment="1">
      <alignment horizontal="right" vertical="center" wrapText="1"/>
    </xf>
    <xf numFmtId="194" fontId="6" fillId="0" borderId="0" xfId="1" applyNumberFormat="1" applyFont="1" applyAlignment="1">
      <alignment vertical="center" wrapText="1"/>
    </xf>
    <xf numFmtId="0" fontId="6" fillId="0" borderId="0" xfId="0" applyFont="1" applyAlignment="1">
      <alignment horizontal="right" vertical="center"/>
    </xf>
    <xf numFmtId="49" fontId="6" fillId="0" borderId="1" xfId="1" applyNumberFormat="1" applyFont="1" applyBorder="1" applyAlignment="1">
      <alignment vertical="center" wrapText="1"/>
    </xf>
    <xf numFmtId="0" fontId="15" fillId="0" borderId="7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7" xfId="0" applyFont="1" applyBorder="1" applyAlignment="1">
      <alignment vertical="center" wrapText="1"/>
    </xf>
    <xf numFmtId="0" fontId="74" fillId="0" borderId="77" xfId="0" applyFont="1" applyBorder="1" applyAlignment="1">
      <alignment horizontal="center" vertical="center" wrapText="1"/>
    </xf>
    <xf numFmtId="178" fontId="11" fillId="0" borderId="3" xfId="0" applyNumberFormat="1" applyFont="1" applyBorder="1" applyAlignment="1">
      <alignment horizontal="center" vertical="center"/>
    </xf>
    <xf numFmtId="49" fontId="75" fillId="0" borderId="1" xfId="0" applyNumberFormat="1" applyFont="1" applyBorder="1">
      <alignment vertical="center"/>
    </xf>
    <xf numFmtId="0" fontId="0" fillId="0" borderId="0" xfId="3" applyFont="1">
      <alignment vertical="center"/>
    </xf>
    <xf numFmtId="185" fontId="18" fillId="0" borderId="1" xfId="3" applyNumberFormat="1" applyBorder="1">
      <alignment vertical="center"/>
    </xf>
    <xf numFmtId="0" fontId="0" fillId="0" borderId="1" xfId="7" applyFont="1" applyBorder="1" applyAlignment="1">
      <alignment horizontal="center" vertical="center"/>
    </xf>
    <xf numFmtId="2" fontId="18" fillId="0" borderId="1" xfId="3" applyNumberFormat="1" applyBorder="1">
      <alignment vertical="center"/>
    </xf>
    <xf numFmtId="182" fontId="18" fillId="0" borderId="1" xfId="3" applyNumberFormat="1" applyBorder="1" applyAlignment="1">
      <alignment horizontal="center" vertical="center"/>
    </xf>
    <xf numFmtId="0" fontId="16" fillId="0" borderId="0" xfId="15" applyAlignment="1">
      <alignment horizontal="right" vertical="center"/>
    </xf>
    <xf numFmtId="182" fontId="18" fillId="0" borderId="0" xfId="3" applyNumberFormat="1" applyAlignment="1">
      <alignment horizontal="center" vertical="center"/>
    </xf>
    <xf numFmtId="49" fontId="18" fillId="0" borderId="1" xfId="1" applyNumberFormat="1" applyFont="1" applyBorder="1" applyAlignment="1">
      <alignment vertical="center" shrinkToFit="1"/>
    </xf>
    <xf numFmtId="0" fontId="18" fillId="0" borderId="1" xfId="3" applyBorder="1" applyAlignment="1">
      <alignment horizontal="center" vertical="center" shrinkToFit="1"/>
    </xf>
    <xf numFmtId="0" fontId="18" fillId="0" borderId="77" xfId="3" applyBorder="1" applyAlignment="1">
      <alignment horizontal="center" vertical="center" shrinkToFit="1"/>
    </xf>
    <xf numFmtId="0" fontId="18" fillId="0" borderId="77" xfId="1" applyFont="1" applyBorder="1" applyAlignment="1">
      <alignment horizontal="center" vertical="center" shrinkToFit="1"/>
    </xf>
    <xf numFmtId="49" fontId="6" fillId="0" borderId="77" xfId="1" applyNumberFormat="1" applyFont="1" applyBorder="1" applyAlignment="1">
      <alignment vertical="center" shrinkToFit="1"/>
    </xf>
    <xf numFmtId="0" fontId="6" fillId="0" borderId="1" xfId="1" applyFont="1" applyBorder="1" applyAlignment="1">
      <alignment horizontal="center" vertical="center" shrinkToFit="1"/>
    </xf>
    <xf numFmtId="0" fontId="18" fillId="0" borderId="0" xfId="3" applyAlignment="1">
      <alignment horizontal="center" vertical="center" shrinkToFit="1"/>
    </xf>
    <xf numFmtId="0" fontId="18" fillId="0" borderId="0" xfId="3" applyAlignment="1">
      <alignment vertical="center" shrinkToFit="1"/>
    </xf>
    <xf numFmtId="0" fontId="0" fillId="0" borderId="0" xfId="0" applyAlignment="1">
      <alignment horizontal="center" vertical="center" shrinkToFit="1"/>
    </xf>
    <xf numFmtId="0" fontId="6" fillId="0" borderId="5" xfId="3" applyFont="1" applyBorder="1" applyAlignment="1">
      <alignment vertical="center" shrinkToFit="1"/>
    </xf>
    <xf numFmtId="0" fontId="6" fillId="0" borderId="3"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77" xfId="1" applyFont="1" applyBorder="1" applyAlignment="1">
      <alignment horizontal="center" vertical="center" shrinkToFit="1"/>
    </xf>
    <xf numFmtId="0" fontId="6" fillId="0" borderId="8" xfId="3" applyFont="1" applyBorder="1" applyAlignment="1">
      <alignment vertical="center" shrinkToFit="1"/>
    </xf>
    <xf numFmtId="0" fontId="6" fillId="0" borderId="0" xfId="3" applyFont="1" applyAlignment="1">
      <alignment horizontal="center" vertical="center" shrinkToFit="1"/>
    </xf>
    <xf numFmtId="0" fontId="6" fillId="0" borderId="0" xfId="3" applyFont="1" applyAlignment="1">
      <alignment vertical="center" shrinkToFit="1"/>
    </xf>
    <xf numFmtId="0" fontId="6" fillId="0" borderId="0" xfId="0" applyFont="1" applyAlignment="1">
      <alignment horizontal="center" vertical="center" shrinkToFit="1"/>
    </xf>
    <xf numFmtId="0" fontId="6" fillId="0" borderId="3" xfId="0" applyFont="1" applyBorder="1" applyAlignment="1">
      <alignment vertical="center" shrinkToFit="1"/>
    </xf>
    <xf numFmtId="0" fontId="6" fillId="0" borderId="1" xfId="3" applyFont="1" applyBorder="1" applyAlignment="1">
      <alignment horizontal="center" vertical="center" shrinkToFit="1"/>
    </xf>
    <xf numFmtId="49" fontId="16" fillId="0" borderId="1" xfId="1" applyNumberFormat="1" applyBorder="1" applyAlignment="1">
      <alignment vertical="center" shrinkToFit="1"/>
    </xf>
    <xf numFmtId="0" fontId="6" fillId="0" borderId="77" xfId="3" applyFont="1" applyBorder="1" applyAlignment="1">
      <alignment horizontal="center" vertical="center" shrinkToFit="1"/>
    </xf>
    <xf numFmtId="49" fontId="16" fillId="0" borderId="77" xfId="1" applyNumberFormat="1" applyBorder="1" applyAlignment="1">
      <alignment vertical="center" shrinkToFit="1"/>
    </xf>
    <xf numFmtId="0" fontId="6" fillId="0" borderId="4" xfId="3" applyFont="1" applyBorder="1" applyAlignment="1">
      <alignment vertical="center" shrinkToFit="1"/>
    </xf>
    <xf numFmtId="49" fontId="6" fillId="0" borderId="1" xfId="1" applyNumberFormat="1" applyFont="1" applyBorder="1" applyAlignment="1">
      <alignment vertical="center" shrinkToFit="1"/>
    </xf>
    <xf numFmtId="202" fontId="6" fillId="0" borderId="1" xfId="0" applyNumberFormat="1" applyFont="1" applyBorder="1" applyProtection="1">
      <alignment vertical="center"/>
      <protection locked="0"/>
    </xf>
    <xf numFmtId="201" fontId="6" fillId="0" borderId="1" xfId="0" applyNumberFormat="1" applyFont="1" applyBorder="1" applyProtection="1">
      <alignment vertical="center"/>
      <protection locked="0"/>
    </xf>
    <xf numFmtId="201" fontId="6" fillId="0" borderId="3" xfId="0" applyNumberFormat="1" applyFont="1" applyBorder="1" applyProtection="1">
      <alignment vertical="center"/>
      <protection locked="0"/>
    </xf>
    <xf numFmtId="202" fontId="6" fillId="0" borderId="3" xfId="0" applyNumberFormat="1" applyFont="1" applyBorder="1" applyProtection="1">
      <alignment vertical="center"/>
      <protection locked="0"/>
    </xf>
    <xf numFmtId="184" fontId="16" fillId="4" borderId="103" xfId="10" applyNumberFormat="1" applyFill="1" applyBorder="1">
      <alignment vertical="center"/>
    </xf>
    <xf numFmtId="184" fontId="16" fillId="4" borderId="99" xfId="10" applyNumberFormat="1" applyFill="1" applyBorder="1">
      <alignment vertical="center"/>
    </xf>
    <xf numFmtId="0" fontId="72" fillId="0" borderId="3" xfId="0" applyFont="1" applyBorder="1" applyAlignment="1">
      <alignment horizontal="center" vertical="center"/>
    </xf>
    <xf numFmtId="38" fontId="5" fillId="3" borderId="3" xfId="5" applyFont="1" applyFill="1" applyBorder="1" applyAlignment="1">
      <alignment horizontal="center" vertical="center"/>
    </xf>
    <xf numFmtId="0" fontId="42" fillId="0" borderId="77" xfId="3" applyFont="1" applyBorder="1" applyAlignment="1">
      <alignment horizontal="left" vertical="center" wrapText="1"/>
    </xf>
    <xf numFmtId="38" fontId="5" fillId="3" borderId="77" xfId="5" applyFont="1" applyFill="1" applyBorder="1" applyAlignment="1">
      <alignment horizontal="center" vertical="center"/>
    </xf>
    <xf numFmtId="0" fontId="0" fillId="0" borderId="0" xfId="3" applyFont="1" applyAlignment="1">
      <alignment horizontal="left" vertical="center"/>
    </xf>
    <xf numFmtId="0" fontId="0" fillId="0" borderId="92" xfId="3" applyFont="1" applyBorder="1" applyAlignment="1">
      <alignment horizontal="center" vertical="center"/>
    </xf>
    <xf numFmtId="0" fontId="0" fillId="0" borderId="95" xfId="3" applyFont="1" applyBorder="1" applyAlignment="1">
      <alignment horizontal="center" vertical="center"/>
    </xf>
    <xf numFmtId="0" fontId="42" fillId="0" borderId="95" xfId="3" applyFont="1" applyBorder="1" applyAlignment="1">
      <alignment horizontal="center" vertical="center"/>
    </xf>
    <xf numFmtId="0" fontId="42" fillId="0" borderId="96" xfId="3" applyFont="1" applyBorder="1" applyAlignment="1">
      <alignment horizontal="center" vertical="center"/>
    </xf>
    <xf numFmtId="0" fontId="18" fillId="0" borderId="32" xfId="3" applyBorder="1">
      <alignment vertical="center"/>
    </xf>
    <xf numFmtId="38" fontId="5" fillId="3" borderId="98" xfId="5" applyFont="1" applyFill="1" applyBorder="1" applyAlignment="1">
      <alignment horizontal="right" vertical="center"/>
    </xf>
    <xf numFmtId="38" fontId="18" fillId="3" borderId="98" xfId="2" applyFill="1" applyBorder="1" applyAlignment="1">
      <alignment horizontal="right" vertical="center"/>
    </xf>
    <xf numFmtId="38" fontId="18" fillId="3" borderId="98" xfId="3" applyNumberFormat="1" applyFill="1" applyBorder="1">
      <alignment vertical="center"/>
    </xf>
    <xf numFmtId="0" fontId="18" fillId="0" borderId="22" xfId="3" applyBorder="1">
      <alignment vertical="center"/>
    </xf>
    <xf numFmtId="0" fontId="18" fillId="0" borderId="101" xfId="3" applyBorder="1">
      <alignment vertical="center"/>
    </xf>
    <xf numFmtId="38" fontId="18" fillId="3" borderId="99" xfId="3" applyNumberFormat="1" applyFill="1" applyBorder="1">
      <alignment vertical="center"/>
    </xf>
    <xf numFmtId="185" fontId="18" fillId="0" borderId="0" xfId="3" applyNumberFormat="1">
      <alignment vertical="center"/>
    </xf>
    <xf numFmtId="185" fontId="57" fillId="0" borderId="0" xfId="3" applyNumberFormat="1" applyFont="1">
      <alignment vertical="center"/>
    </xf>
    <xf numFmtId="190" fontId="18" fillId="0" borderId="0" xfId="3" applyNumberFormat="1" applyAlignment="1">
      <alignment horizontal="center" vertical="center"/>
    </xf>
    <xf numFmtId="189" fontId="18" fillId="0" borderId="0" xfId="2" applyNumberFormat="1" applyBorder="1">
      <alignment vertical="center"/>
    </xf>
    <xf numFmtId="191" fontId="18" fillId="0" borderId="87" xfId="3" applyNumberFormat="1" applyBorder="1">
      <alignment vertical="center"/>
    </xf>
    <xf numFmtId="191" fontId="18" fillId="0" borderId="12" xfId="3" applyNumberFormat="1" applyBorder="1">
      <alignment vertical="center"/>
    </xf>
    <xf numFmtId="193" fontId="76" fillId="0" borderId="5" xfId="2" applyNumberFormat="1" applyFont="1" applyFill="1" applyBorder="1" applyAlignment="1">
      <alignment horizontal="center" vertical="center" wrapText="1"/>
    </xf>
    <xf numFmtId="193" fontId="76" fillId="0" borderId="2" xfId="2" applyNumberFormat="1" applyFont="1" applyFill="1" applyBorder="1" applyAlignment="1">
      <alignment horizontal="center" vertical="center" wrapText="1"/>
    </xf>
    <xf numFmtId="194" fontId="56" fillId="0" borderId="13" xfId="0" applyNumberFormat="1" applyFont="1" applyBorder="1">
      <alignment vertical="center"/>
    </xf>
    <xf numFmtId="0" fontId="0" fillId="0" borderId="5" xfId="0" applyBorder="1">
      <alignment vertical="center"/>
    </xf>
    <xf numFmtId="182" fontId="18" fillId="0" borderId="101" xfId="3" applyNumberFormat="1" applyBorder="1">
      <alignment vertical="center"/>
    </xf>
    <xf numFmtId="0" fontId="18" fillId="0" borderId="92" xfId="3" applyBorder="1">
      <alignment vertical="center"/>
    </xf>
    <xf numFmtId="182" fontId="18" fillId="0" borderId="95" xfId="3" applyNumberFormat="1" applyBorder="1">
      <alignment vertical="center"/>
    </xf>
    <xf numFmtId="0" fontId="18" fillId="0" borderId="95" xfId="3" applyBorder="1">
      <alignment vertical="center"/>
    </xf>
    <xf numFmtId="38" fontId="18" fillId="3" borderId="96" xfId="3" applyNumberFormat="1" applyFill="1" applyBorder="1">
      <alignment vertical="center"/>
    </xf>
    <xf numFmtId="0" fontId="13" fillId="0" borderId="5" xfId="0" applyFont="1" applyBorder="1" applyAlignment="1">
      <alignment horizontal="center" vertical="center"/>
    </xf>
    <xf numFmtId="182" fontId="5" fillId="5" borderId="1" xfId="3" applyNumberFormat="1" applyFont="1" applyFill="1" applyBorder="1" applyAlignment="1">
      <alignment horizontal="center" vertical="center"/>
    </xf>
    <xf numFmtId="182" fontId="5" fillId="7" borderId="1" xfId="3" applyNumberFormat="1" applyFont="1" applyFill="1" applyBorder="1" applyAlignment="1">
      <alignment horizontal="center" vertical="center"/>
    </xf>
    <xf numFmtId="0" fontId="18" fillId="7" borderId="1" xfId="3" applyFill="1" applyBorder="1">
      <alignment vertical="center"/>
    </xf>
    <xf numFmtId="0" fontId="18" fillId="7" borderId="101" xfId="3" applyFill="1" applyBorder="1">
      <alignment vertical="center"/>
    </xf>
    <xf numFmtId="0" fontId="1" fillId="0" borderId="1" xfId="10" applyFont="1" applyBorder="1" applyAlignment="1">
      <alignment vertical="center" shrinkToFit="1"/>
    </xf>
    <xf numFmtId="0" fontId="2" fillId="0" borderId="0" xfId="10" applyFont="1" applyAlignment="1">
      <alignment vertical="center" shrinkToFit="1"/>
    </xf>
    <xf numFmtId="0" fontId="16" fillId="0" borderId="106" xfId="10" applyBorder="1" applyAlignment="1">
      <alignment vertical="center" shrinkToFit="1"/>
    </xf>
    <xf numFmtId="0" fontId="61" fillId="0" borderId="104" xfId="10" applyFont="1" applyBorder="1" applyAlignment="1">
      <alignment vertical="center" shrinkToFit="1"/>
    </xf>
    <xf numFmtId="0" fontId="2" fillId="0" borderId="107" xfId="10" applyFont="1" applyBorder="1" applyAlignment="1">
      <alignment vertical="center" shrinkToFit="1"/>
    </xf>
    <xf numFmtId="184" fontId="72" fillId="0" borderId="1" xfId="10" applyNumberFormat="1" applyFont="1" applyBorder="1" applyAlignment="1">
      <alignment horizontal="center" vertical="center"/>
    </xf>
    <xf numFmtId="205" fontId="72" fillId="0" borderId="4" xfId="2" applyNumberFormat="1" applyFont="1" applyBorder="1" applyAlignment="1">
      <alignment horizontal="center" vertical="center"/>
    </xf>
    <xf numFmtId="0" fontId="2" fillId="0" borderId="4" xfId="10" applyFont="1" applyBorder="1" applyAlignment="1">
      <alignment horizontal="left" vertical="center"/>
    </xf>
    <xf numFmtId="0" fontId="16" fillId="0" borderId="1" xfId="10" applyBorder="1" applyAlignment="1">
      <alignment horizontal="center" vertical="center"/>
    </xf>
    <xf numFmtId="2" fontId="78" fillId="0" borderId="1" xfId="10" applyNumberFormat="1" applyFont="1" applyBorder="1">
      <alignment vertical="center"/>
    </xf>
    <xf numFmtId="38" fontId="16" fillId="3" borderId="1" xfId="2" applyFont="1" applyFill="1" applyBorder="1">
      <alignment vertical="center"/>
    </xf>
    <xf numFmtId="177" fontId="44" fillId="0" borderId="1" xfId="3" applyNumberFormat="1" applyFont="1" applyBorder="1">
      <alignment vertical="center"/>
    </xf>
    <xf numFmtId="0" fontId="0" fillId="0" borderId="1" xfId="7" applyFont="1" applyBorder="1" applyAlignment="1">
      <alignment horizontal="center" vertical="center" wrapText="1"/>
    </xf>
    <xf numFmtId="0" fontId="25" fillId="5" borderId="1" xfId="10" applyFont="1" applyFill="1" applyBorder="1">
      <alignment vertical="center"/>
    </xf>
    <xf numFmtId="2" fontId="72" fillId="0" borderId="1" xfId="0" applyNumberFormat="1" applyFont="1" applyBorder="1" applyAlignment="1">
      <alignment horizontal="center" vertical="center"/>
    </xf>
    <xf numFmtId="2" fontId="72" fillId="0" borderId="77" xfId="0" applyNumberFormat="1" applyFont="1" applyBorder="1" applyAlignment="1">
      <alignment horizontal="center" vertical="center"/>
    </xf>
    <xf numFmtId="0" fontId="18" fillId="5" borderId="13" xfId="3" applyFill="1" applyBorder="1">
      <alignment vertical="center"/>
    </xf>
    <xf numFmtId="0" fontId="18" fillId="5" borderId="14" xfId="3" applyFill="1" applyBorder="1">
      <alignment vertical="center"/>
    </xf>
    <xf numFmtId="0" fontId="18" fillId="5" borderId="15" xfId="3" applyFill="1" applyBorder="1">
      <alignment vertical="center"/>
    </xf>
    <xf numFmtId="184" fontId="78" fillId="0" borderId="0" xfId="10" applyNumberFormat="1" applyFont="1" applyAlignment="1">
      <alignment horizontal="right" vertical="center"/>
    </xf>
    <xf numFmtId="49" fontId="49" fillId="0" borderId="0" xfId="0" applyNumberFormat="1" applyFont="1" applyAlignment="1">
      <alignment horizontal="center" vertical="center" shrinkToFit="1"/>
    </xf>
    <xf numFmtId="0" fontId="49" fillId="0" borderId="0" xfId="3" applyFont="1" applyAlignment="1">
      <alignment horizontal="center" vertical="center" shrinkToFit="1"/>
    </xf>
    <xf numFmtId="0" fontId="16" fillId="0" borderId="0" xfId="10" applyAlignment="1">
      <alignment vertical="center" shrinkToFit="1"/>
    </xf>
    <xf numFmtId="184" fontId="57" fillId="0" borderId="1" xfId="3" applyNumberFormat="1" applyFont="1" applyBorder="1">
      <alignment vertical="center"/>
    </xf>
    <xf numFmtId="0" fontId="57" fillId="0" borderId="1" xfId="3" applyFont="1" applyBorder="1">
      <alignment vertical="center"/>
    </xf>
    <xf numFmtId="0" fontId="57" fillId="0" borderId="101" xfId="3" applyFont="1" applyBorder="1">
      <alignment vertical="center"/>
    </xf>
    <xf numFmtId="0" fontId="79" fillId="0" borderId="1" xfId="3" applyFont="1" applyBorder="1">
      <alignment vertical="center"/>
    </xf>
    <xf numFmtId="0" fontId="79" fillId="0" borderId="101" xfId="3" applyFont="1" applyBorder="1">
      <alignment vertical="center"/>
    </xf>
    <xf numFmtId="182" fontId="80" fillId="0" borderId="1" xfId="3" applyNumberFormat="1" applyFont="1" applyBorder="1" applyAlignment="1">
      <alignment horizontal="center" vertical="center"/>
    </xf>
    <xf numFmtId="182" fontId="80" fillId="0" borderId="77" xfId="3" applyNumberFormat="1" applyFont="1" applyBorder="1" applyAlignment="1">
      <alignment horizontal="center" vertical="center"/>
    </xf>
    <xf numFmtId="0" fontId="72" fillId="0" borderId="1" xfId="3" applyFont="1" applyBorder="1" applyAlignment="1">
      <alignment horizontal="center" vertical="center"/>
    </xf>
    <xf numFmtId="185" fontId="81" fillId="0" borderId="1" xfId="3" applyNumberFormat="1" applyFont="1" applyBorder="1" applyAlignment="1">
      <alignment horizontal="center" vertical="center"/>
    </xf>
    <xf numFmtId="177" fontId="81" fillId="0" borderId="1" xfId="3" applyNumberFormat="1" applyFont="1" applyBorder="1" applyAlignment="1">
      <alignment horizontal="center" vertical="center"/>
    </xf>
    <xf numFmtId="0" fontId="42" fillId="0" borderId="0" xfId="3" applyFont="1">
      <alignment vertical="center"/>
    </xf>
    <xf numFmtId="209" fontId="5" fillId="5" borderId="77" xfId="3" applyNumberFormat="1" applyFont="1" applyFill="1" applyBorder="1" applyAlignment="1">
      <alignment horizontal="center" vertical="center"/>
    </xf>
    <xf numFmtId="0" fontId="18" fillId="0" borderId="88" xfId="3" applyBorder="1">
      <alignment vertical="center"/>
    </xf>
    <xf numFmtId="0" fontId="18" fillId="0" borderId="108" xfId="3" applyBorder="1">
      <alignment vertical="center"/>
    </xf>
    <xf numFmtId="0" fontId="18" fillId="0" borderId="107" xfId="3" applyBorder="1">
      <alignment vertical="center"/>
    </xf>
    <xf numFmtId="38" fontId="18" fillId="3" borderId="110" xfId="3" applyNumberFormat="1" applyFill="1" applyBorder="1">
      <alignment vertical="center"/>
    </xf>
    <xf numFmtId="182" fontId="18" fillId="0" borderId="108" xfId="3" applyNumberFormat="1" applyBorder="1">
      <alignment vertical="center"/>
    </xf>
    <xf numFmtId="0" fontId="57" fillId="0" borderId="1" xfId="0" applyFont="1" applyBorder="1">
      <alignment vertical="center"/>
    </xf>
    <xf numFmtId="0" fontId="57" fillId="0" borderId="95" xfId="3" applyFont="1" applyBorder="1">
      <alignment vertical="center"/>
    </xf>
    <xf numFmtId="0" fontId="79" fillId="0" borderId="3" xfId="3" applyFont="1" applyBorder="1">
      <alignment vertical="center"/>
    </xf>
    <xf numFmtId="0" fontId="57" fillId="0" borderId="3" xfId="3" applyFont="1" applyBorder="1">
      <alignment vertical="center"/>
    </xf>
    <xf numFmtId="0" fontId="57" fillId="0" borderId="108" xfId="3" applyFont="1" applyBorder="1">
      <alignment vertical="center"/>
    </xf>
    <xf numFmtId="0" fontId="18" fillId="3" borderId="109" xfId="3" applyFill="1" applyBorder="1">
      <alignment vertical="center"/>
    </xf>
    <xf numFmtId="0" fontId="42" fillId="0" borderId="0" xfId="3" applyFont="1" applyAlignment="1">
      <alignment horizontal="left" vertical="center"/>
    </xf>
    <xf numFmtId="0" fontId="18" fillId="0" borderId="46" xfId="3" applyBorder="1">
      <alignment vertical="center"/>
    </xf>
    <xf numFmtId="0" fontId="18" fillId="0" borderId="100" xfId="3" applyBorder="1">
      <alignment vertical="center"/>
    </xf>
    <xf numFmtId="0" fontId="0" fillId="0" borderId="100" xfId="3" applyFont="1" applyBorder="1">
      <alignment vertical="center"/>
    </xf>
    <xf numFmtId="0" fontId="79" fillId="0" borderId="100" xfId="3" applyFont="1" applyBorder="1">
      <alignment vertical="center"/>
    </xf>
    <xf numFmtId="0" fontId="57" fillId="0" borderId="100" xfId="3" applyFont="1" applyBorder="1">
      <alignment vertical="center"/>
    </xf>
    <xf numFmtId="38" fontId="18" fillId="3" borderId="103" xfId="3" applyNumberFormat="1" applyFill="1" applyBorder="1">
      <alignment vertical="center"/>
    </xf>
    <xf numFmtId="38" fontId="18" fillId="3" borderId="97" xfId="3" applyNumberFormat="1" applyFill="1" applyBorder="1">
      <alignment vertical="center"/>
    </xf>
    <xf numFmtId="0" fontId="0" fillId="0" borderId="101" xfId="3" applyFont="1" applyBorder="1">
      <alignment vertical="center"/>
    </xf>
    <xf numFmtId="185" fontId="79" fillId="0" borderId="1" xfId="3" applyNumberFormat="1" applyFont="1" applyBorder="1">
      <alignment vertical="center"/>
    </xf>
    <xf numFmtId="177" fontId="79" fillId="0" borderId="1" xfId="3" applyNumberFormat="1" applyFont="1" applyBorder="1">
      <alignment vertical="center"/>
    </xf>
    <xf numFmtId="185" fontId="82" fillId="0" borderId="1" xfId="3" applyNumberFormat="1" applyFont="1" applyBorder="1">
      <alignment vertical="center"/>
    </xf>
    <xf numFmtId="182" fontId="44" fillId="0" borderId="1" xfId="3" applyNumberFormat="1" applyFont="1" applyBorder="1" applyAlignment="1">
      <alignment horizontal="center" vertical="center"/>
    </xf>
    <xf numFmtId="182" fontId="82" fillId="0" borderId="1" xfId="3" applyNumberFormat="1" applyFont="1" applyBorder="1">
      <alignment vertical="center"/>
    </xf>
    <xf numFmtId="184" fontId="82" fillId="0" borderId="1" xfId="3" applyNumberFormat="1" applyFont="1" applyBorder="1">
      <alignment vertical="center"/>
    </xf>
    <xf numFmtId="185" fontId="44" fillId="0" borderId="1" xfId="3" applyNumberFormat="1" applyFont="1" applyBorder="1">
      <alignment vertical="center"/>
    </xf>
    <xf numFmtId="2" fontId="79" fillId="0" borderId="1" xfId="3" applyNumberFormat="1" applyFont="1" applyBorder="1">
      <alignment vertical="center"/>
    </xf>
    <xf numFmtId="2" fontId="82" fillId="0" borderId="1" xfId="3" applyNumberFormat="1" applyFont="1" applyBorder="1">
      <alignment vertical="center"/>
    </xf>
    <xf numFmtId="0" fontId="83" fillId="0" borderId="1" xfId="3" applyFont="1" applyBorder="1" applyAlignment="1">
      <alignment horizontal="center" vertical="center"/>
    </xf>
    <xf numFmtId="0" fontId="18" fillId="7" borderId="108" xfId="3" applyFill="1" applyBorder="1">
      <alignment vertical="center"/>
    </xf>
    <xf numFmtId="0" fontId="6" fillId="0" borderId="102" xfId="0" applyFont="1" applyBorder="1" applyAlignment="1" applyProtection="1">
      <alignment horizontal="center" vertical="center"/>
      <protection locked="0"/>
    </xf>
    <xf numFmtId="0" fontId="0" fillId="0" borderId="3" xfId="0" applyBorder="1" applyAlignment="1">
      <alignment vertical="center" wrapText="1"/>
    </xf>
    <xf numFmtId="0" fontId="8" fillId="0" borderId="72" xfId="0" applyFont="1" applyBorder="1" applyAlignment="1">
      <alignment vertical="center" wrapText="1"/>
    </xf>
    <xf numFmtId="0" fontId="8" fillId="0" borderId="72" xfId="0" applyFont="1" applyBorder="1">
      <alignment vertical="center"/>
    </xf>
    <xf numFmtId="0" fontId="0" fillId="0" borderId="3" xfId="0" applyBorder="1" applyAlignment="1">
      <alignment vertical="center" shrinkToFit="1"/>
    </xf>
    <xf numFmtId="0" fontId="7" fillId="0" borderId="0" xfId="0" applyFont="1" applyAlignment="1">
      <alignment vertical="center" wrapText="1"/>
    </xf>
    <xf numFmtId="181" fontId="0" fillId="0" borderId="0" xfId="0" applyNumberFormat="1">
      <alignment vertical="center"/>
    </xf>
    <xf numFmtId="181" fontId="14" fillId="0" borderId="0" xfId="0" applyNumberFormat="1" applyFont="1">
      <alignment vertical="center"/>
    </xf>
    <xf numFmtId="38" fontId="38" fillId="0" borderId="1" xfId="2" applyFont="1" applyBorder="1" applyAlignment="1">
      <alignment horizontal="right" vertical="center" shrinkToFit="1"/>
    </xf>
    <xf numFmtId="38" fontId="37" fillId="0" borderId="1" xfId="2" applyFont="1" applyBorder="1" applyAlignment="1">
      <alignment vertical="center" shrinkToFit="1" readingOrder="1"/>
    </xf>
    <xf numFmtId="38" fontId="9" fillId="0" borderId="1" xfId="2" applyFont="1" applyBorder="1" applyAlignment="1">
      <alignment horizontal="right" vertical="center" shrinkToFit="1"/>
    </xf>
    <xf numFmtId="0" fontId="0" fillId="0" borderId="0" xfId="0" applyAlignment="1">
      <alignment vertical="center" shrinkToFit="1"/>
    </xf>
    <xf numFmtId="0" fontId="9" fillId="0" borderId="1" xfId="0" applyFont="1" applyBorder="1" applyAlignment="1">
      <alignment vertical="center" shrinkToFit="1"/>
    </xf>
    <xf numFmtId="38" fontId="37" fillId="0" borderId="1" xfId="2" applyFont="1" applyBorder="1" applyAlignment="1">
      <alignment horizontal="right" vertical="center" shrinkToFit="1" readingOrder="1"/>
    </xf>
    <xf numFmtId="0" fontId="0" fillId="0" borderId="1" xfId="0" applyBorder="1" applyAlignment="1">
      <alignment vertical="center" shrinkToFit="1"/>
    </xf>
    <xf numFmtId="38" fontId="66" fillId="0" borderId="1" xfId="2" applyFont="1" applyBorder="1" applyAlignment="1">
      <alignment vertical="center" shrinkToFit="1" readingOrder="1"/>
    </xf>
    <xf numFmtId="0" fontId="18" fillId="0" borderId="1" xfId="3" applyBorder="1" applyAlignment="1" applyProtection="1">
      <alignment horizontal="center" vertical="center"/>
      <protection locked="0"/>
    </xf>
    <xf numFmtId="0" fontId="18" fillId="0" borderId="1" xfId="3" applyBorder="1" applyAlignment="1" applyProtection="1">
      <alignment horizontal="center" vertical="center" shrinkToFit="1"/>
      <protection locked="0"/>
    </xf>
    <xf numFmtId="0" fontId="18" fillId="0" borderId="3" xfId="3" applyBorder="1" applyAlignment="1" applyProtection="1">
      <alignment horizontal="center" vertical="center"/>
      <protection locked="0"/>
    </xf>
    <xf numFmtId="0" fontId="6" fillId="0" borderId="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1" xfId="3" applyFont="1" applyBorder="1" applyAlignment="1" applyProtection="1">
      <alignment horizontal="center" vertical="center" shrinkToFit="1"/>
      <protection locked="0"/>
    </xf>
    <xf numFmtId="0" fontId="6" fillId="0" borderId="4" xfId="3" applyFont="1" applyBorder="1" applyAlignment="1" applyProtection="1">
      <alignment horizontal="center" vertical="center" shrinkToFit="1"/>
      <protection locked="0"/>
    </xf>
    <xf numFmtId="0" fontId="6" fillId="0" borderId="3" xfId="3" applyFont="1" applyBorder="1" applyAlignment="1" applyProtection="1">
      <alignment horizontal="center" vertical="center" shrinkToFit="1"/>
      <protection locked="0"/>
    </xf>
    <xf numFmtId="0" fontId="6" fillId="0" borderId="7" xfId="3" applyFont="1" applyBorder="1" applyProtection="1">
      <alignment vertical="center"/>
      <protection locked="0"/>
    </xf>
    <xf numFmtId="194" fontId="6" fillId="0" borderId="1" xfId="3" applyNumberFormat="1" applyFont="1" applyBorder="1" applyProtection="1">
      <alignment vertical="center"/>
      <protection locked="0"/>
    </xf>
    <xf numFmtId="192" fontId="6" fillId="0" borderId="1" xfId="3" applyNumberFormat="1" applyFont="1" applyBorder="1" applyProtection="1">
      <alignment vertical="center"/>
      <protection locked="0"/>
    </xf>
    <xf numFmtId="192" fontId="6" fillId="0" borderId="4" xfId="3" applyNumberFormat="1" applyFont="1" applyBorder="1" applyProtection="1">
      <alignment vertical="center"/>
      <protection locked="0"/>
    </xf>
    <xf numFmtId="192" fontId="6" fillId="0" borderId="3" xfId="3" applyNumberFormat="1" applyFont="1" applyBorder="1" applyProtection="1">
      <alignment vertical="center"/>
      <protection locked="0"/>
    </xf>
    <xf numFmtId="194" fontId="6" fillId="0" borderId="4" xfId="3" applyNumberFormat="1" applyFont="1" applyBorder="1" applyProtection="1">
      <alignment vertical="center"/>
      <protection locked="0"/>
    </xf>
    <xf numFmtId="0" fontId="42" fillId="0" borderId="1" xfId="7" applyFont="1" applyBorder="1" applyAlignment="1">
      <alignment horizontal="justify" vertical="center" shrinkToFit="1"/>
    </xf>
    <xf numFmtId="0" fontId="18" fillId="0" borderId="1" xfId="7" applyBorder="1" applyAlignment="1">
      <alignment vertical="center" shrinkToFit="1"/>
    </xf>
    <xf numFmtId="0" fontId="18" fillId="0" borderId="1" xfId="3" applyBorder="1" applyAlignment="1">
      <alignment vertical="center" shrinkToFit="1"/>
    </xf>
    <xf numFmtId="0" fontId="0" fillId="0" borderId="1" xfId="3" applyFont="1" applyBorder="1" applyAlignment="1">
      <alignment vertical="center" shrinkToFit="1"/>
    </xf>
    <xf numFmtId="0" fontId="0" fillId="0" borderId="1" xfId="7" applyFont="1" applyBorder="1">
      <alignment vertical="center"/>
    </xf>
    <xf numFmtId="0" fontId="47" fillId="0" borderId="0" xfId="9">
      <alignment vertical="center"/>
    </xf>
    <xf numFmtId="0" fontId="6" fillId="0" borderId="2" xfId="0" applyFont="1" applyBorder="1" applyAlignment="1">
      <alignment horizontal="center" vertical="center"/>
    </xf>
    <xf numFmtId="0" fontId="0" fillId="0" borderId="3" xfId="0" applyBorder="1" applyProtection="1">
      <alignment vertical="center"/>
      <protection locked="0"/>
    </xf>
    <xf numFmtId="0" fontId="0" fillId="0" borderId="1" xfId="0" applyBorder="1" applyProtection="1">
      <alignment vertical="center"/>
      <protection locked="0"/>
    </xf>
    <xf numFmtId="0" fontId="6" fillId="0" borderId="1" xfId="3" applyFont="1" applyBorder="1" applyAlignment="1" applyProtection="1">
      <alignment horizontal="center" vertical="center"/>
      <protection locked="0"/>
    </xf>
    <xf numFmtId="0" fontId="6" fillId="0" borderId="1" xfId="3" applyFont="1" applyBorder="1" applyProtection="1">
      <alignment vertical="center"/>
      <protection locked="0"/>
    </xf>
    <xf numFmtId="202" fontId="6" fillId="0" borderId="2" xfId="3" applyNumberFormat="1" applyFont="1" applyBorder="1" applyProtection="1">
      <alignment vertical="center"/>
      <protection locked="0"/>
    </xf>
    <xf numFmtId="201" fontId="6" fillId="0" borderId="1" xfId="3" applyNumberFormat="1" applyFont="1" applyBorder="1" applyProtection="1">
      <alignment vertical="center"/>
      <protection locked="0"/>
    </xf>
    <xf numFmtId="202" fontId="6" fillId="0" borderId="1" xfId="3" applyNumberFormat="1" applyFont="1" applyBorder="1" applyProtection="1">
      <alignment vertical="center"/>
      <protection locked="0"/>
    </xf>
    <xf numFmtId="0" fontId="6" fillId="0" borderId="5" xfId="3" applyFont="1" applyBorder="1" applyProtection="1">
      <alignment vertical="center"/>
      <protection locked="0"/>
    </xf>
    <xf numFmtId="0" fontId="0" fillId="0" borderId="1" xfId="3" applyFont="1" applyBorder="1" applyAlignment="1" applyProtection="1">
      <alignment horizontal="center" vertical="center"/>
      <protection locked="0"/>
    </xf>
    <xf numFmtId="201" fontId="6" fillId="0" borderId="3" xfId="0" applyNumberFormat="1" applyFont="1" applyBorder="1" applyAlignment="1">
      <alignment horizontal="right" vertical="center" indent="1"/>
    </xf>
    <xf numFmtId="194" fontId="6" fillId="0" borderId="1" xfId="3" applyNumberFormat="1" applyFont="1" applyBorder="1">
      <alignment vertical="center"/>
    </xf>
    <xf numFmtId="194" fontId="6" fillId="0" borderId="87" xfId="1" applyNumberFormat="1" applyFont="1" applyBorder="1" applyAlignment="1">
      <alignment vertical="center" wrapText="1"/>
    </xf>
    <xf numFmtId="194" fontId="6" fillId="0" borderId="3" xfId="3" applyNumberFormat="1" applyFont="1" applyBorder="1">
      <alignment vertical="center"/>
    </xf>
    <xf numFmtId="0" fontId="6" fillId="0" borderId="7" xfId="3" applyFont="1" applyBorder="1">
      <alignment vertical="center"/>
    </xf>
    <xf numFmtId="0" fontId="18" fillId="0" borderId="1" xfId="1" applyFont="1" applyBorder="1" applyAlignment="1" applyProtection="1">
      <alignment horizontal="left" vertical="center"/>
      <protection locked="0"/>
    </xf>
    <xf numFmtId="49" fontId="18" fillId="0" borderId="1" xfId="1" applyNumberFormat="1" applyFont="1" applyBorder="1" applyAlignment="1" applyProtection="1">
      <alignment vertical="center" wrapText="1"/>
      <protection locked="0"/>
    </xf>
    <xf numFmtId="193" fontId="20" fillId="5" borderId="1" xfId="2" applyNumberFormat="1" applyFont="1" applyFill="1" applyBorder="1" applyAlignment="1" applyProtection="1">
      <alignment vertical="center" wrapText="1"/>
      <protection locked="0"/>
    </xf>
    <xf numFmtId="9" fontId="20" fillId="5" borderId="1" xfId="6" applyFont="1" applyFill="1" applyBorder="1" applyAlignment="1" applyProtection="1">
      <alignment vertical="center" wrapText="1"/>
      <protection locked="0"/>
    </xf>
    <xf numFmtId="38" fontId="18" fillId="4" borderId="1" xfId="2" applyFill="1" applyBorder="1" applyProtection="1">
      <alignment vertical="center"/>
      <protection locked="0"/>
    </xf>
    <xf numFmtId="0" fontId="18" fillId="0" borderId="1" xfId="1" applyFont="1" applyBorder="1" applyAlignment="1" applyProtection="1">
      <alignment horizontal="left" vertical="center" shrinkToFit="1"/>
      <protection locked="0"/>
    </xf>
    <xf numFmtId="49" fontId="18" fillId="0" borderId="1" xfId="1" applyNumberFormat="1" applyFont="1" applyBorder="1" applyAlignment="1" applyProtection="1">
      <alignment vertical="center" shrinkToFit="1"/>
      <protection locked="0"/>
    </xf>
    <xf numFmtId="38" fontId="18" fillId="4" borderId="1" xfId="2" applyFont="1" applyFill="1" applyBorder="1" applyProtection="1">
      <alignment vertical="center"/>
      <protection locked="0"/>
    </xf>
    <xf numFmtId="0" fontId="18" fillId="0" borderId="1" xfId="1" applyFont="1" applyBorder="1" applyAlignment="1" applyProtection="1">
      <alignment horizontal="center" vertical="center" shrinkToFit="1"/>
      <protection locked="0"/>
    </xf>
    <xf numFmtId="0" fontId="18" fillId="0" borderId="3" xfId="1" applyFont="1" applyBorder="1" applyAlignment="1" applyProtection="1">
      <alignment horizontal="left" vertical="center"/>
      <protection locked="0"/>
    </xf>
    <xf numFmtId="49" fontId="18" fillId="0" borderId="3" xfId="1" applyNumberFormat="1" applyFont="1" applyBorder="1" applyAlignment="1" applyProtection="1">
      <alignment vertical="center" wrapText="1"/>
      <protection locked="0"/>
    </xf>
    <xf numFmtId="193" fontId="20" fillId="5" borderId="3" xfId="2" applyNumberFormat="1" applyFont="1" applyFill="1" applyBorder="1" applyAlignment="1" applyProtection="1">
      <alignment vertical="center" wrapText="1"/>
      <protection locked="0"/>
    </xf>
    <xf numFmtId="9" fontId="20" fillId="5" borderId="3" xfId="6" applyFont="1" applyFill="1" applyBorder="1" applyAlignment="1" applyProtection="1">
      <alignment vertical="center" wrapText="1"/>
      <protection locked="0"/>
    </xf>
    <xf numFmtId="38" fontId="18" fillId="4" borderId="3" xfId="2" applyFill="1" applyBorder="1" applyProtection="1">
      <alignment vertical="center"/>
      <protection locked="0"/>
    </xf>
    <xf numFmtId="0" fontId="6" fillId="0" borderId="4" xfId="1" applyFont="1" applyBorder="1" applyAlignment="1" applyProtection="1">
      <alignment horizontal="left" vertical="center" shrinkToFit="1"/>
      <protection locked="0"/>
    </xf>
    <xf numFmtId="49" fontId="6" fillId="0" borderId="4" xfId="1" applyNumberFormat="1" applyFont="1" applyBorder="1" applyAlignment="1" applyProtection="1">
      <alignment vertical="center" shrinkToFit="1"/>
      <protection locked="0"/>
    </xf>
    <xf numFmtId="193" fontId="21" fillId="5" borderId="4" xfId="2" applyNumberFormat="1" applyFont="1" applyFill="1" applyBorder="1" applyAlignment="1" applyProtection="1">
      <alignment vertical="center" wrapText="1"/>
      <protection locked="0"/>
    </xf>
    <xf numFmtId="9" fontId="21" fillId="5" borderId="4" xfId="6" applyFont="1" applyFill="1" applyBorder="1" applyAlignment="1" applyProtection="1">
      <alignment vertical="center" wrapText="1"/>
      <protection locked="0"/>
    </xf>
    <xf numFmtId="38" fontId="6" fillId="4" borderId="4" xfId="2" applyFont="1" applyFill="1" applyBorder="1" applyProtection="1">
      <alignment vertical="center"/>
      <protection locked="0"/>
    </xf>
    <xf numFmtId="0" fontId="0" fillId="0" borderId="5" xfId="3" applyFont="1" applyBorder="1" applyProtection="1">
      <alignment vertical="center"/>
      <protection locked="0"/>
    </xf>
    <xf numFmtId="0" fontId="18" fillId="0" borderId="5" xfId="3" applyBorder="1" applyProtection="1">
      <alignment vertical="center"/>
      <protection locked="0"/>
    </xf>
    <xf numFmtId="38" fontId="18" fillId="4" borderId="1" xfId="2" applyFill="1" applyBorder="1" applyAlignment="1" applyProtection="1">
      <alignment horizontal="right" vertical="center"/>
      <protection locked="0"/>
    </xf>
    <xf numFmtId="0" fontId="6" fillId="0" borderId="73" xfId="0" applyFont="1" applyBorder="1" applyAlignment="1" applyProtection="1">
      <alignment vertical="center" shrinkToFit="1"/>
      <protection locked="0"/>
    </xf>
    <xf numFmtId="0" fontId="6" fillId="0" borderId="5" xfId="3" applyFont="1" applyBorder="1" applyAlignment="1" applyProtection="1">
      <alignment vertical="center" shrinkToFit="1"/>
      <protection locked="0"/>
    </xf>
    <xf numFmtId="38" fontId="6" fillId="4" borderId="5" xfId="2" applyFont="1" applyFill="1" applyBorder="1" applyAlignment="1" applyProtection="1">
      <alignment horizontal="right" vertical="center"/>
      <protection locked="0"/>
    </xf>
    <xf numFmtId="0" fontId="6" fillId="0" borderId="73" xfId="3" applyFont="1" applyBorder="1" applyAlignment="1" applyProtection="1">
      <alignment vertical="center" shrinkToFit="1"/>
      <protection locked="0"/>
    </xf>
    <xf numFmtId="38" fontId="6" fillId="4" borderId="73" xfId="2" applyFont="1" applyFill="1" applyBorder="1" applyAlignment="1" applyProtection="1">
      <alignment horizontal="right" vertical="center"/>
      <protection locked="0"/>
    </xf>
    <xf numFmtId="0" fontId="16" fillId="0" borderId="1" xfId="1" applyBorder="1" applyAlignment="1" applyProtection="1">
      <alignment horizontal="left" vertical="center" wrapText="1"/>
      <protection locked="0"/>
    </xf>
    <xf numFmtId="38" fontId="6" fillId="4" borderId="1" xfId="2" applyFont="1" applyFill="1" applyBorder="1" applyAlignment="1" applyProtection="1">
      <alignment horizontal="right" vertical="center"/>
      <protection locked="0"/>
    </xf>
    <xf numFmtId="49" fontId="16" fillId="0" borderId="1" xfId="1" applyNumberFormat="1" applyBorder="1" applyAlignment="1" applyProtection="1">
      <alignment vertical="center" wrapText="1"/>
      <protection locked="0"/>
    </xf>
    <xf numFmtId="0" fontId="16" fillId="0" borderId="1" xfId="1" applyBorder="1" applyAlignment="1" applyProtection="1">
      <alignment horizontal="left" vertical="center" shrinkToFit="1"/>
      <protection locked="0"/>
    </xf>
    <xf numFmtId="49" fontId="16" fillId="0" borderId="1" xfId="1" applyNumberFormat="1" applyBorder="1" applyAlignment="1" applyProtection="1">
      <alignment vertical="center" shrinkToFit="1"/>
      <protection locked="0"/>
    </xf>
    <xf numFmtId="0" fontId="18" fillId="0" borderId="1" xfId="3" applyBorder="1" applyProtection="1">
      <alignment vertical="center"/>
      <protection locked="0"/>
    </xf>
    <xf numFmtId="0" fontId="6" fillId="0" borderId="3" xfId="0" applyFont="1" applyBorder="1" applyAlignment="1" applyProtection="1">
      <alignment vertical="center" shrinkToFit="1"/>
      <protection locked="0"/>
    </xf>
    <xf numFmtId="0" fontId="6" fillId="0" borderId="1" xfId="3" applyFont="1" applyBorder="1" applyAlignment="1" applyProtection="1">
      <alignment vertical="center" shrinkToFit="1"/>
      <protection locked="0"/>
    </xf>
    <xf numFmtId="38" fontId="6" fillId="0" borderId="1" xfId="2" applyFont="1" applyFill="1" applyBorder="1" applyAlignment="1" applyProtection="1">
      <alignment horizontal="right" vertical="center"/>
      <protection locked="0"/>
    </xf>
    <xf numFmtId="38" fontId="6" fillId="4" borderId="3" xfId="2" applyFont="1" applyFill="1" applyBorder="1" applyAlignment="1" applyProtection="1">
      <alignment horizontal="right" vertical="center"/>
      <protection locked="0"/>
    </xf>
    <xf numFmtId="0" fontId="6" fillId="0" borderId="1" xfId="1" applyFont="1" applyBorder="1" applyAlignment="1" applyProtection="1">
      <alignment horizontal="center" vertical="center" shrinkToFit="1"/>
      <protection locked="0"/>
    </xf>
    <xf numFmtId="49" fontId="6" fillId="0" borderId="1" xfId="1" applyNumberFormat="1" applyFont="1" applyBorder="1" applyAlignment="1" applyProtection="1">
      <alignment vertical="center" shrinkToFit="1"/>
      <protection locked="0"/>
    </xf>
    <xf numFmtId="193" fontId="21" fillId="5" borderId="1" xfId="2" applyNumberFormat="1" applyFont="1" applyFill="1" applyBorder="1" applyAlignment="1" applyProtection="1">
      <alignment vertical="center" wrapText="1"/>
      <protection locked="0"/>
    </xf>
    <xf numFmtId="9" fontId="21" fillId="5" borderId="1" xfId="6" applyFont="1" applyFill="1" applyBorder="1" applyAlignment="1" applyProtection="1">
      <alignment vertical="center" wrapText="1"/>
      <protection locked="0"/>
    </xf>
    <xf numFmtId="38" fontId="6" fillId="4" borderId="1" xfId="2" applyFont="1" applyFill="1" applyBorder="1" applyProtection="1">
      <alignment vertical="center"/>
      <protection locked="0"/>
    </xf>
    <xf numFmtId="0" fontId="6" fillId="0" borderId="5" xfId="1" applyFont="1" applyBorder="1" applyAlignment="1" applyProtection="1">
      <alignment horizontal="center" vertical="center" shrinkToFit="1"/>
      <protection locked="0"/>
    </xf>
    <xf numFmtId="0" fontId="6" fillId="0" borderId="1" xfId="1" applyFont="1" applyBorder="1" applyAlignment="1" applyProtection="1">
      <alignment horizontal="left" vertical="center" shrinkToFit="1"/>
      <protection locked="0"/>
    </xf>
    <xf numFmtId="0" fontId="18" fillId="0" borderId="1" xfId="1" applyFont="1" applyBorder="1" applyAlignment="1" applyProtection="1">
      <alignment horizontal="center" vertical="center"/>
      <protection locked="0"/>
    </xf>
    <xf numFmtId="0" fontId="18" fillId="0" borderId="5" xfId="1" applyFont="1" applyBorder="1" applyAlignment="1" applyProtection="1">
      <alignment horizontal="center" vertical="center" wrapText="1"/>
      <protection locked="0"/>
    </xf>
    <xf numFmtId="0" fontId="18" fillId="0" borderId="5" xfId="1" applyFont="1" applyBorder="1" applyAlignment="1" applyProtection="1">
      <alignment horizontal="center" vertical="center"/>
      <protection locked="0"/>
    </xf>
    <xf numFmtId="0" fontId="6" fillId="0" borderId="77" xfId="3" applyFont="1" applyBorder="1" applyAlignment="1" applyProtection="1">
      <alignment horizontal="center" vertical="center" shrinkToFit="1"/>
      <protection locked="0"/>
    </xf>
    <xf numFmtId="0" fontId="6" fillId="0" borderId="77" xfId="3" applyFont="1" applyBorder="1" applyAlignment="1" applyProtection="1">
      <alignment vertical="center" shrinkToFit="1"/>
      <protection locked="0"/>
    </xf>
    <xf numFmtId="187" fontId="9" fillId="0" borderId="12" xfId="0" applyNumberFormat="1" applyFont="1" applyBorder="1" applyAlignment="1">
      <alignment vertical="center" shrinkToFit="1"/>
    </xf>
    <xf numFmtId="0" fontId="6" fillId="0" borderId="5" xfId="3" applyFont="1" applyBorder="1" applyProtection="1">
      <alignment vertical="center"/>
      <protection locked="0"/>
    </xf>
    <xf numFmtId="0" fontId="6" fillId="0" borderId="6" xfId="3" applyFont="1" applyBorder="1" applyProtection="1">
      <alignment vertical="center"/>
      <protection locked="0"/>
    </xf>
    <xf numFmtId="0" fontId="6" fillId="0" borderId="2" xfId="3" applyFont="1" applyBorder="1" applyProtection="1">
      <alignment vertical="center"/>
      <protection locked="0"/>
    </xf>
    <xf numFmtId="193" fontId="76" fillId="0" borderId="5" xfId="2" applyNumberFormat="1" applyFont="1" applyFill="1" applyBorder="1" applyAlignment="1" applyProtection="1">
      <alignment horizontal="center" vertical="center" wrapText="1"/>
      <protection locked="0"/>
    </xf>
    <xf numFmtId="193" fontId="76" fillId="0" borderId="2" xfId="2" applyNumberFormat="1" applyFont="1" applyFill="1" applyBorder="1" applyAlignment="1" applyProtection="1">
      <alignment horizontal="center" vertical="center" wrapText="1"/>
      <protection locked="0"/>
    </xf>
    <xf numFmtId="193" fontId="76" fillId="0" borderId="8" xfId="2" applyNumberFormat="1" applyFont="1" applyFill="1" applyBorder="1" applyAlignment="1">
      <alignment horizontal="center" vertical="center" wrapText="1"/>
    </xf>
    <xf numFmtId="193" fontId="76" fillId="0" borderId="9" xfId="2"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lignment vertical="center"/>
    </xf>
    <xf numFmtId="0" fontId="6" fillId="0" borderId="4" xfId="3"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3" xfId="3" applyFont="1" applyBorder="1" applyAlignment="1">
      <alignment horizontal="center" vertical="center" shrinkToFit="1"/>
    </xf>
    <xf numFmtId="0" fontId="6" fillId="0" borderId="5" xfId="3" applyFont="1" applyBorder="1" applyAlignment="1">
      <alignment horizontal="center" vertical="center"/>
    </xf>
    <xf numFmtId="0" fontId="6" fillId="0" borderId="2" xfId="0"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6" fillId="0" borderId="19" xfId="3" applyFont="1" applyBorder="1" applyAlignment="1">
      <alignment horizontal="center" vertical="center"/>
    </xf>
    <xf numFmtId="0" fontId="6" fillId="0" borderId="78" xfId="3" applyFont="1" applyBorder="1" applyAlignment="1">
      <alignment horizontal="center" vertical="center"/>
    </xf>
    <xf numFmtId="0" fontId="6" fillId="0" borderId="73" xfId="3" applyFont="1" applyBorder="1" applyAlignment="1">
      <alignment horizontal="center" vertical="center"/>
    </xf>
    <xf numFmtId="0" fontId="6" fillId="0" borderId="71" xfId="3" applyFont="1" applyBorder="1" applyAlignment="1">
      <alignment horizontal="center" vertical="center"/>
    </xf>
    <xf numFmtId="0" fontId="6" fillId="0" borderId="2" xfId="3" applyFont="1" applyBorder="1" applyAlignment="1">
      <alignment horizontal="center" vertical="center"/>
    </xf>
    <xf numFmtId="180" fontId="11" fillId="0" borderId="5" xfId="0" applyNumberFormat="1" applyFont="1" applyBorder="1" applyAlignment="1" applyProtection="1">
      <alignment horizontal="center" vertical="center"/>
      <protection locked="0"/>
    </xf>
    <xf numFmtId="0" fontId="7" fillId="0" borderId="2" xfId="0" applyFont="1" applyBorder="1" applyProtection="1">
      <alignment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20" xfId="0" applyBorder="1" applyAlignment="1">
      <alignment horizontal="left" vertical="center" wrapText="1"/>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6" fillId="0" borderId="5" xfId="0"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16" fillId="0" borderId="0" xfId="10" applyAlignment="1">
      <alignment horizontal="center" vertical="center" wrapText="1"/>
    </xf>
    <xf numFmtId="0" fontId="6" fillId="0" borderId="1" xfId="3" applyFont="1" applyBorder="1">
      <alignment vertical="center"/>
    </xf>
    <xf numFmtId="0" fontId="6" fillId="0" borderId="20" xfId="3" applyFont="1" applyBorder="1" applyAlignment="1">
      <alignment horizontal="center" vertical="center"/>
    </xf>
    <xf numFmtId="0" fontId="6" fillId="0" borderId="72" xfId="3" applyFont="1" applyBorder="1" applyAlignment="1">
      <alignment horizontal="center" vertical="center"/>
    </xf>
    <xf numFmtId="0" fontId="18"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6" fillId="0" borderId="8" xfId="3" applyFont="1" applyBorder="1">
      <alignment vertical="center"/>
    </xf>
    <xf numFmtId="0" fontId="6" fillId="0" borderId="18" xfId="3" applyFont="1" applyBorder="1">
      <alignment vertical="center"/>
    </xf>
    <xf numFmtId="0" fontId="6" fillId="0" borderId="9" xfId="3" applyFont="1" applyBorder="1">
      <alignment vertical="center"/>
    </xf>
    <xf numFmtId="0" fontId="6" fillId="0" borderId="8" xfId="3" applyFont="1" applyBorder="1" applyProtection="1">
      <alignment vertical="center"/>
      <protection locked="0"/>
    </xf>
    <xf numFmtId="0" fontId="6" fillId="0" borderId="18" xfId="3" applyFont="1" applyBorder="1" applyProtection="1">
      <alignment vertical="center"/>
      <protection locked="0"/>
    </xf>
    <xf numFmtId="0" fontId="6" fillId="0" borderId="9" xfId="3" applyFont="1" applyBorder="1" applyProtection="1">
      <alignment vertical="center"/>
      <protection locked="0"/>
    </xf>
    <xf numFmtId="0" fontId="6" fillId="0" borderId="5" xfId="3" applyFont="1" applyBorder="1">
      <alignment vertical="center"/>
    </xf>
    <xf numFmtId="0" fontId="6" fillId="0" borderId="6" xfId="3" applyFont="1" applyBorder="1">
      <alignment vertical="center"/>
    </xf>
    <xf numFmtId="0" fontId="6" fillId="0" borderId="2" xfId="3" applyFont="1" applyBorder="1">
      <alignment vertical="center"/>
    </xf>
    <xf numFmtId="0" fontId="18" fillId="0" borderId="4" xfId="3" applyBorder="1" applyAlignment="1">
      <alignment horizontal="center" vertical="center"/>
    </xf>
    <xf numFmtId="0" fontId="0" fillId="0" borderId="3" xfId="0" applyBorder="1" applyAlignment="1">
      <alignment horizontal="center" vertical="center"/>
    </xf>
    <xf numFmtId="0" fontId="18" fillId="0" borderId="5" xfId="3" applyBorder="1" applyAlignment="1">
      <alignment horizontal="center" vertical="center"/>
    </xf>
    <xf numFmtId="0" fontId="18" fillId="0" borderId="3" xfId="3" applyBorder="1" applyAlignment="1">
      <alignment horizontal="center" vertical="center"/>
    </xf>
    <xf numFmtId="0" fontId="0" fillId="0" borderId="5" xfId="3" applyFont="1" applyBorder="1" applyAlignment="1">
      <alignment horizontal="center" vertical="center"/>
    </xf>
    <xf numFmtId="0" fontId="18" fillId="0" borderId="2" xfId="3" applyBorder="1" applyAlignment="1">
      <alignment horizontal="center" vertical="center"/>
    </xf>
    <xf numFmtId="0" fontId="18" fillId="0" borderId="19" xfId="3" applyBorder="1" applyAlignment="1">
      <alignment horizontal="center" vertical="center" shrinkToFit="1"/>
    </xf>
    <xf numFmtId="0" fontId="18" fillId="0" borderId="73" xfId="3" applyBorder="1" applyAlignment="1">
      <alignment horizontal="center" vertical="center" shrinkToFit="1"/>
    </xf>
    <xf numFmtId="0" fontId="0" fillId="0" borderId="1" xfId="3" applyFont="1" applyBorder="1" applyAlignment="1">
      <alignment horizontal="center" vertical="center"/>
    </xf>
    <xf numFmtId="0" fontId="35" fillId="0" borderId="1" xfId="0" applyFont="1" applyBorder="1" applyAlignment="1">
      <alignment horizontal="center" vertical="center"/>
    </xf>
    <xf numFmtId="207" fontId="29" fillId="0" borderId="1" xfId="0" applyNumberFormat="1" applyFont="1" applyBorder="1" applyAlignment="1">
      <alignment horizontal="center" vertical="center" shrinkToFit="1"/>
    </xf>
    <xf numFmtId="0" fontId="34" fillId="0" borderId="1" xfId="0" applyFont="1" applyBorder="1" applyAlignment="1">
      <alignment horizontal="left" vertical="center"/>
    </xf>
    <xf numFmtId="187" fontId="65" fillId="0" borderId="1" xfId="0" applyNumberFormat="1" applyFont="1" applyBorder="1" applyAlignment="1">
      <alignment horizontal="center" vertical="center" shrinkToFit="1"/>
    </xf>
    <xf numFmtId="0" fontId="34" fillId="0" borderId="1" xfId="0" applyFont="1" applyBorder="1" applyAlignment="1">
      <alignment horizontal="left" vertical="center" wrapText="1"/>
    </xf>
    <xf numFmtId="206" fontId="11" fillId="0" borderId="1" xfId="0" applyNumberFormat="1" applyFont="1" applyBorder="1" applyAlignment="1">
      <alignment horizontal="center" vertical="center" shrinkToFit="1"/>
    </xf>
    <xf numFmtId="0" fontId="0" fillId="0" borderId="0" xfId="0" applyAlignment="1">
      <alignment horizontal="center" vertical="center"/>
    </xf>
    <xf numFmtId="0" fontId="34" fillId="0" borderId="1" xfId="0" applyFont="1" applyBorder="1" applyAlignment="1">
      <alignment horizontal="center" vertical="center"/>
    </xf>
    <xf numFmtId="208" fontId="11" fillId="0" borderId="1" xfId="0" applyNumberFormat="1" applyFont="1" applyBorder="1" applyAlignment="1">
      <alignment horizontal="center" vertical="center" shrinkToFit="1"/>
    </xf>
    <xf numFmtId="181" fontId="0" fillId="0" borderId="1" xfId="0" applyNumberFormat="1" applyBorder="1" applyAlignment="1">
      <alignment horizontal="center" vertical="center" shrinkToFit="1"/>
    </xf>
    <xf numFmtId="181" fontId="0" fillId="0" borderId="98" xfId="0" applyNumberFormat="1" applyBorder="1" applyAlignment="1">
      <alignment horizontal="center" vertical="center" shrinkToFit="1"/>
    </xf>
    <xf numFmtId="181" fontId="0" fillId="0" borderId="77" xfId="0" applyNumberFormat="1" applyBorder="1" applyAlignment="1">
      <alignment horizontal="center" vertical="center" shrinkToFit="1"/>
    </xf>
    <xf numFmtId="181" fontId="0" fillId="0" borderId="124" xfId="0" applyNumberFormat="1" applyBorder="1" applyAlignment="1">
      <alignment horizontal="center" vertical="center" shrinkToFit="1"/>
    </xf>
    <xf numFmtId="0" fontId="37" fillId="0" borderId="1" xfId="0" applyFont="1" applyBorder="1" applyAlignment="1">
      <alignment horizontal="left" vertical="center" wrapText="1" readingOrder="1"/>
    </xf>
    <xf numFmtId="0" fontId="39" fillId="0" borderId="1" xfId="0" applyFont="1" applyBorder="1" applyAlignment="1">
      <alignment horizontal="left" vertical="center" wrapText="1"/>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37" fillId="0" borderId="1" xfId="0" applyFont="1" applyBorder="1" applyAlignment="1">
      <alignment horizontal="center" vertical="center" wrapText="1" readingOrder="1"/>
    </xf>
    <xf numFmtId="0" fontId="0" fillId="0" borderId="32" xfId="0" applyBorder="1" applyAlignment="1">
      <alignment horizontal="center" vertical="center" shrinkToFit="1"/>
    </xf>
    <xf numFmtId="0" fontId="0" fillId="0" borderId="1" xfId="0" applyBorder="1" applyAlignment="1">
      <alignment horizontal="center" vertical="center" shrinkToFit="1"/>
    </xf>
    <xf numFmtId="0" fontId="0" fillId="0" borderId="48" xfId="0" applyBorder="1" applyAlignment="1">
      <alignment horizontal="center" vertical="center" shrinkToFit="1"/>
    </xf>
    <xf numFmtId="0" fontId="0" fillId="0" borderId="4" xfId="0" applyBorder="1" applyAlignment="1">
      <alignment horizontal="center" vertical="center" shrinkToFit="1"/>
    </xf>
    <xf numFmtId="0" fontId="7" fillId="0" borderId="90"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112" xfId="0" applyFont="1" applyBorder="1" applyAlignment="1">
      <alignment horizontal="center" vertical="center" wrapText="1"/>
    </xf>
    <xf numFmtId="0" fontId="0" fillId="0" borderId="122" xfId="0" applyBorder="1" applyAlignment="1">
      <alignment horizontal="center" vertical="center" shrinkToFit="1"/>
    </xf>
    <xf numFmtId="0" fontId="0" fillId="0" borderId="123" xfId="0" applyBorder="1" applyAlignment="1">
      <alignment horizontal="center" vertical="center" shrinkToFit="1"/>
    </xf>
    <xf numFmtId="0" fontId="0" fillId="0" borderId="49" xfId="0" applyBorder="1" applyAlignment="1">
      <alignment horizontal="center" vertical="center" shrinkToFit="1"/>
    </xf>
    <xf numFmtId="181" fontId="14" fillId="0" borderId="105" xfId="0" applyNumberFormat="1" applyFont="1" applyBorder="1" applyAlignment="1">
      <alignment horizontal="center" vertical="center" shrinkToFit="1"/>
    </xf>
    <xf numFmtId="181" fontId="14" fillId="0" borderId="29" xfId="0" applyNumberFormat="1" applyFont="1" applyBorder="1" applyAlignment="1">
      <alignment horizontal="center" vertical="center" shrinkToFit="1"/>
    </xf>
    <xf numFmtId="0" fontId="7" fillId="0" borderId="126" xfId="0" applyFont="1" applyBorder="1" applyAlignment="1">
      <alignment horizontal="center" vertical="center" wrapText="1"/>
    </xf>
    <xf numFmtId="0" fontId="7" fillId="0" borderId="125" xfId="0" applyFont="1" applyBorder="1" applyAlignment="1">
      <alignment horizontal="center" vertical="center" wrapText="1"/>
    </xf>
    <xf numFmtId="181" fontId="0" fillId="0" borderId="3" xfId="0" applyNumberFormat="1" applyBorder="1" applyAlignment="1">
      <alignment horizontal="center" vertical="center" shrinkToFit="1"/>
    </xf>
    <xf numFmtId="181" fontId="0" fillId="0" borderId="97" xfId="0" applyNumberForma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81" fontId="0" fillId="0" borderId="18" xfId="0" applyNumberFormat="1" applyBorder="1" applyAlignment="1">
      <alignment horizontal="center" vertical="center" shrinkToFit="1"/>
    </xf>
    <xf numFmtId="0" fontId="0" fillId="0" borderId="119"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181" fontId="0" fillId="0" borderId="6" xfId="0" applyNumberFormat="1" applyBorder="1" applyAlignment="1">
      <alignment horizontal="center" vertical="center" shrinkToFit="1"/>
    </xf>
    <xf numFmtId="0" fontId="0" fillId="0" borderId="117" xfId="0" applyBorder="1" applyAlignment="1">
      <alignment horizontal="center" vertical="center" shrinkToFit="1"/>
    </xf>
    <xf numFmtId="206" fontId="11" fillId="0" borderId="1" xfId="0" applyNumberFormat="1" applyFont="1" applyBorder="1" applyAlignment="1" applyProtection="1">
      <alignment horizontal="center" vertical="center" shrinkToFit="1"/>
      <protection locked="0"/>
    </xf>
    <xf numFmtId="181" fontId="14" fillId="0" borderId="1" xfId="0" applyNumberFormat="1" applyFont="1" applyBorder="1" applyAlignment="1">
      <alignment horizontal="center" vertical="center" shrinkToFit="1"/>
    </xf>
    <xf numFmtId="181" fontId="14" fillId="0" borderId="5" xfId="0" applyNumberFormat="1" applyFont="1" applyBorder="1" applyAlignment="1">
      <alignment horizontal="center" vertical="center" shrinkToFit="1"/>
    </xf>
    <xf numFmtId="181" fontId="14" fillId="0" borderId="105" xfId="0" applyNumberFormat="1" applyFont="1" applyBorder="1" applyAlignment="1">
      <alignment horizontal="right" vertical="center" shrinkToFit="1"/>
    </xf>
    <xf numFmtId="0" fontId="0" fillId="0" borderId="29" xfId="0" applyBorder="1" applyAlignment="1">
      <alignment horizontal="right" vertical="center" shrinkToFit="1"/>
    </xf>
    <xf numFmtId="0" fontId="37" fillId="0" borderId="1" xfId="0" applyFont="1" applyBorder="1" applyAlignment="1">
      <alignment horizontal="left" vertical="center" shrinkToFit="1" readingOrder="1"/>
    </xf>
    <xf numFmtId="0" fontId="39" fillId="0" borderId="1" xfId="0" applyFont="1" applyBorder="1" applyAlignment="1">
      <alignment horizontal="left" vertical="center" shrinkToFit="1"/>
    </xf>
    <xf numFmtId="0" fontId="34" fillId="0" borderId="1" xfId="0" applyFont="1" applyBorder="1" applyAlignment="1">
      <alignment horizontal="center" vertical="center" wrapText="1"/>
    </xf>
    <xf numFmtId="0" fontId="0" fillId="0" borderId="118" xfId="0" applyBorder="1" applyAlignment="1">
      <alignment horizontal="center" vertical="center" shrinkToFit="1"/>
    </xf>
    <xf numFmtId="0" fontId="0" fillId="0" borderId="77" xfId="0" applyBorder="1" applyAlignment="1">
      <alignment horizontal="center" vertical="center" shrinkToFit="1"/>
    </xf>
    <xf numFmtId="0" fontId="0" fillId="0" borderId="120" xfId="0" applyBorder="1" applyAlignment="1">
      <alignment horizontal="center" vertical="center" shrinkToFit="1"/>
    </xf>
    <xf numFmtId="0" fontId="0" fillId="0" borderId="105" xfId="0" applyBorder="1" applyAlignment="1">
      <alignment horizontal="center" vertical="center" shrinkToFit="1"/>
    </xf>
    <xf numFmtId="0" fontId="0" fillId="0" borderId="105" xfId="0" applyBorder="1" applyAlignment="1">
      <alignment vertical="center" shrinkToFit="1"/>
    </xf>
    <xf numFmtId="181" fontId="14" fillId="0" borderId="121" xfId="0" applyNumberFormat="1" applyFont="1" applyBorder="1" applyAlignment="1">
      <alignment horizontal="center" vertical="center" shrinkToFit="1"/>
    </xf>
    <xf numFmtId="181" fontId="14" fillId="0" borderId="111" xfId="0" applyNumberFormat="1" applyFont="1" applyBorder="1" applyAlignment="1">
      <alignment horizontal="center" vertical="center" shrinkToFit="1"/>
    </xf>
    <xf numFmtId="181" fontId="14" fillId="0" borderId="77" xfId="0" applyNumberFormat="1" applyFont="1" applyBorder="1" applyAlignment="1">
      <alignment horizontal="center" vertical="center" shrinkToFit="1"/>
    </xf>
    <xf numFmtId="181" fontId="14" fillId="0" borderId="8" xfId="0" applyNumberFormat="1" applyFont="1" applyBorder="1" applyAlignment="1">
      <alignment horizontal="center" vertical="center" shrinkToFit="1"/>
    </xf>
    <xf numFmtId="181" fontId="14" fillId="0" borderId="3" xfId="0" applyNumberFormat="1" applyFont="1" applyBorder="1" applyAlignment="1">
      <alignment horizontal="center" vertical="center" shrinkToFit="1"/>
    </xf>
    <xf numFmtId="181" fontId="14" fillId="0" borderId="73" xfId="0" applyNumberFormat="1" applyFont="1" applyBorder="1" applyAlignment="1">
      <alignment horizontal="center" vertical="center" shrinkToFit="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181" fontId="0" fillId="0" borderId="115" xfId="0" applyNumberFormat="1" applyBorder="1" applyAlignment="1">
      <alignment horizontal="center" vertical="center" shrinkToFit="1"/>
    </xf>
    <xf numFmtId="0" fontId="0" fillId="0" borderId="116" xfId="0" applyBorder="1" applyAlignment="1">
      <alignment horizontal="center" vertical="center" shrinkToFit="1"/>
    </xf>
    <xf numFmtId="0" fontId="0" fillId="0" borderId="112" xfId="0" applyBorder="1" applyAlignment="1">
      <alignment horizontal="center" vertical="center" wrapText="1"/>
    </xf>
    <xf numFmtId="0" fontId="7" fillId="0" borderId="113" xfId="0" applyFont="1" applyBorder="1" applyAlignment="1">
      <alignment horizontal="center" vertical="center" wrapText="1"/>
    </xf>
    <xf numFmtId="0" fontId="0" fillId="0" borderId="91" xfId="0" applyBorder="1" applyAlignment="1">
      <alignment horizontal="center" vertical="center" wrapText="1"/>
    </xf>
    <xf numFmtId="0" fontId="0" fillId="0" borderId="114" xfId="0" applyBorder="1" applyAlignment="1">
      <alignment horizontal="center" vertical="center" wrapText="1"/>
    </xf>
    <xf numFmtId="0" fontId="18" fillId="0" borderId="5" xfId="3" applyBorder="1" applyAlignment="1">
      <alignment horizontal="left" vertical="center"/>
    </xf>
    <xf numFmtId="0" fontId="18" fillId="0" borderId="2" xfId="3" applyBorder="1" applyAlignment="1">
      <alignment horizontal="left" vertical="center"/>
    </xf>
    <xf numFmtId="0" fontId="18" fillId="0" borderId="1" xfId="3" applyBorder="1" applyAlignment="1">
      <alignment horizontal="center" vertical="center"/>
    </xf>
    <xf numFmtId="0" fontId="0" fillId="0" borderId="72" xfId="3" applyFont="1" applyBorder="1" applyAlignment="1">
      <alignment horizontal="center" vertical="center"/>
    </xf>
    <xf numFmtId="0" fontId="18" fillId="0" borderId="72" xfId="3" applyBorder="1" applyAlignment="1">
      <alignment horizontal="center" vertical="center"/>
    </xf>
    <xf numFmtId="0" fontId="6" fillId="0" borderId="5" xfId="3" applyFont="1" applyBorder="1" applyAlignment="1">
      <alignment horizontal="center" vertical="center" wrapText="1"/>
    </xf>
    <xf numFmtId="0" fontId="6" fillId="0" borderId="2" xfId="3" applyFont="1" applyBorder="1" applyAlignment="1">
      <alignment horizontal="center" vertical="center" wrapText="1"/>
    </xf>
    <xf numFmtId="0" fontId="69" fillId="0" borderId="95" xfId="15" applyFont="1" applyBorder="1" applyAlignment="1">
      <alignment horizontal="center" vertical="center"/>
    </xf>
    <xf numFmtId="0" fontId="69" fillId="0" borderId="3" xfId="15" applyFont="1" applyBorder="1" applyAlignment="1">
      <alignment horizontal="center" vertical="center"/>
    </xf>
    <xf numFmtId="0" fontId="69" fillId="0" borderId="96" xfId="15" applyFont="1" applyBorder="1" applyAlignment="1">
      <alignment horizontal="center" vertical="center" shrinkToFit="1"/>
    </xf>
    <xf numFmtId="0" fontId="69" fillId="0" borderId="97" xfId="15" applyFont="1" applyBorder="1" applyAlignment="1">
      <alignment horizontal="center" vertical="center" shrinkToFit="1"/>
    </xf>
    <xf numFmtId="0" fontId="69" fillId="0" borderId="92" xfId="15" applyFont="1" applyBorder="1" applyAlignment="1">
      <alignment horizontal="center" vertical="center" wrapText="1"/>
    </xf>
    <xf numFmtId="0" fontId="69" fillId="0" borderId="49" xfId="15" applyFont="1" applyBorder="1" applyAlignment="1">
      <alignment horizontal="center" vertical="center" wrapText="1"/>
    </xf>
    <xf numFmtId="0" fontId="69" fillId="0" borderId="93" xfId="15" applyFont="1" applyBorder="1" applyAlignment="1">
      <alignment horizontal="center" vertical="center"/>
    </xf>
    <xf numFmtId="0" fontId="69" fillId="0" borderId="71" xfId="15" applyFont="1" applyBorder="1" applyAlignment="1">
      <alignment horizontal="center" vertical="center"/>
    </xf>
    <xf numFmtId="0" fontId="69" fillId="0" borderId="94" xfId="15" applyFont="1" applyBorder="1" applyAlignment="1">
      <alignment horizontal="center" vertical="center"/>
    </xf>
    <xf numFmtId="0" fontId="69" fillId="0" borderId="73" xfId="15" applyFont="1" applyBorder="1" applyAlignment="1">
      <alignment horizontal="center" vertical="center"/>
    </xf>
    <xf numFmtId="0" fontId="69" fillId="0" borderId="21" xfId="15" applyFont="1" applyBorder="1" applyAlignment="1">
      <alignment horizontal="center" vertical="center"/>
    </xf>
    <xf numFmtId="0" fontId="28" fillId="2" borderId="1" xfId="10" applyFont="1" applyFill="1" applyBorder="1" applyAlignment="1">
      <alignment horizontal="center" vertical="center" wrapText="1"/>
    </xf>
    <xf numFmtId="0" fontId="28" fillId="2" borderId="77" xfId="10" applyFont="1" applyFill="1" applyBorder="1" applyAlignment="1">
      <alignment horizontal="center" vertical="center" wrapText="1"/>
    </xf>
    <xf numFmtId="0" fontId="16" fillId="2" borderId="81" xfId="10" applyFill="1" applyBorder="1">
      <alignment vertical="center"/>
    </xf>
    <xf numFmtId="0" fontId="16" fillId="2" borderId="80" xfId="10" applyFill="1" applyBorder="1">
      <alignment vertical="center"/>
    </xf>
    <xf numFmtId="0" fontId="16" fillId="2" borderId="79" xfId="10" applyFill="1" applyBorder="1">
      <alignment vertical="center"/>
    </xf>
    <xf numFmtId="0" fontId="16" fillId="2" borderId="47" xfId="10" applyFill="1" applyBorder="1" applyAlignment="1">
      <alignment horizontal="center" vertical="center" wrapText="1"/>
    </xf>
    <xf numFmtId="0" fontId="16" fillId="2" borderId="42" xfId="10" applyFill="1" applyBorder="1" applyAlignment="1">
      <alignment horizontal="center" vertical="center" wrapText="1"/>
    </xf>
    <xf numFmtId="0" fontId="16" fillId="2" borderId="67" xfId="10" applyFill="1" applyBorder="1" applyAlignment="1">
      <alignment horizontal="center" vertical="center" wrapText="1"/>
    </xf>
    <xf numFmtId="0" fontId="16" fillId="2" borderId="0" xfId="10" applyFill="1" applyAlignment="1">
      <alignment horizontal="center" vertical="center" wrapText="1"/>
    </xf>
    <xf numFmtId="0" fontId="16" fillId="2" borderId="69" xfId="10" applyFill="1" applyBorder="1" applyAlignment="1">
      <alignment horizontal="center" vertical="center" wrapText="1"/>
    </xf>
    <xf numFmtId="0" fontId="16" fillId="2" borderId="21" xfId="10" applyFill="1" applyBorder="1" applyAlignment="1">
      <alignment horizontal="center" vertical="center" wrapText="1"/>
    </xf>
    <xf numFmtId="0" fontId="16" fillId="2" borderId="70" xfId="10" applyFill="1" applyBorder="1" applyAlignment="1">
      <alignment horizontal="center" vertical="center" wrapText="1"/>
    </xf>
    <xf numFmtId="0" fontId="16" fillId="2" borderId="68" xfId="10" applyFill="1" applyBorder="1" applyAlignment="1">
      <alignment horizontal="center" vertical="center" wrapText="1"/>
    </xf>
    <xf numFmtId="9" fontId="16" fillId="2" borderId="60" xfId="10" applyNumberFormat="1" applyFill="1" applyBorder="1" applyAlignment="1">
      <alignment horizontal="center" vertical="center"/>
    </xf>
    <xf numFmtId="9" fontId="16" fillId="2" borderId="53" xfId="10" applyNumberFormat="1" applyFill="1" applyBorder="1" applyAlignment="1">
      <alignment horizontal="center" vertical="center"/>
    </xf>
    <xf numFmtId="0" fontId="51" fillId="2" borderId="11" xfId="10" applyFont="1" applyFill="1" applyBorder="1" applyAlignment="1">
      <alignment horizontal="left" vertical="center" wrapText="1" indent="1"/>
    </xf>
    <xf numFmtId="0" fontId="50" fillId="2" borderId="0" xfId="10" applyFont="1" applyFill="1" applyAlignment="1">
      <alignment horizontal="left" vertical="center" wrapText="1" indent="1"/>
    </xf>
    <xf numFmtId="0" fontId="50" fillId="2" borderId="85" xfId="10" applyFont="1" applyFill="1" applyBorder="1" applyAlignment="1">
      <alignment horizontal="left" vertical="center" wrapText="1" indent="1"/>
    </xf>
    <xf numFmtId="3" fontId="28" fillId="2" borderId="5" xfId="10" applyNumberFormat="1" applyFont="1" applyFill="1" applyBorder="1" applyAlignment="1">
      <alignment horizontal="right" vertical="center" wrapText="1"/>
    </xf>
    <xf numFmtId="3" fontId="28" fillId="2" borderId="6" xfId="10" applyNumberFormat="1" applyFont="1" applyFill="1" applyBorder="1" applyAlignment="1">
      <alignment horizontal="right" vertical="center" wrapText="1"/>
    </xf>
    <xf numFmtId="3" fontId="28" fillId="2" borderId="2" xfId="10" applyNumberFormat="1" applyFont="1" applyFill="1" applyBorder="1" applyAlignment="1">
      <alignment horizontal="right" vertical="center" wrapText="1"/>
    </xf>
    <xf numFmtId="0" fontId="28" fillId="2" borderId="5" xfId="10" applyFont="1" applyFill="1" applyBorder="1" applyAlignment="1">
      <alignment horizontal="right" vertical="center" wrapText="1"/>
    </xf>
    <xf numFmtId="0" fontId="28" fillId="2" borderId="6" xfId="10" applyFont="1" applyFill="1" applyBorder="1" applyAlignment="1">
      <alignment horizontal="right" vertical="center" wrapText="1"/>
    </xf>
    <xf numFmtId="0" fontId="28" fillId="2" borderId="2" xfId="10" applyFont="1" applyFill="1" applyBorder="1" applyAlignment="1">
      <alignment horizontal="right" vertical="center" wrapText="1"/>
    </xf>
    <xf numFmtId="0" fontId="28" fillId="2" borderId="73" xfId="10" applyFont="1" applyFill="1" applyBorder="1" applyAlignment="1">
      <alignment horizontal="right" vertical="center" wrapText="1"/>
    </xf>
    <xf numFmtId="0" fontId="28" fillId="2" borderId="72" xfId="10" applyFont="1" applyFill="1" applyBorder="1" applyAlignment="1">
      <alignment horizontal="right" vertical="center" wrapText="1"/>
    </xf>
    <xf numFmtId="0" fontId="28" fillId="2" borderId="71" xfId="10" applyFont="1" applyFill="1" applyBorder="1" applyAlignment="1">
      <alignment horizontal="right" vertical="center" wrapText="1"/>
    </xf>
    <xf numFmtId="0" fontId="28" fillId="2" borderId="76" xfId="10" applyFont="1" applyFill="1" applyBorder="1" applyAlignment="1">
      <alignment horizontal="center" vertical="center" wrapText="1"/>
    </xf>
    <xf numFmtId="0" fontId="28" fillId="2" borderId="75" xfId="10" applyFont="1" applyFill="1" applyBorder="1" applyAlignment="1">
      <alignment horizontal="center" vertical="center" wrapText="1"/>
    </xf>
    <xf numFmtId="0" fontId="28" fillId="2" borderId="74" xfId="10" applyFont="1" applyFill="1" applyBorder="1" applyAlignment="1">
      <alignment horizontal="center" vertical="center" wrapText="1"/>
    </xf>
    <xf numFmtId="0" fontId="16" fillId="2" borderId="84" xfId="10" applyFill="1" applyBorder="1">
      <alignment vertical="center"/>
    </xf>
    <xf numFmtId="0" fontId="16" fillId="2" borderId="83" xfId="10" applyFill="1" applyBorder="1">
      <alignment vertical="center"/>
    </xf>
    <xf numFmtId="0" fontId="16" fillId="2" borderId="41" xfId="10" applyFill="1" applyBorder="1">
      <alignment vertical="center"/>
    </xf>
    <xf numFmtId="0" fontId="16" fillId="2" borderId="35" xfId="10" applyFill="1" applyBorder="1">
      <alignment vertical="center"/>
    </xf>
    <xf numFmtId="0" fontId="16" fillId="2" borderId="0" xfId="10" applyFill="1">
      <alignment vertical="center"/>
    </xf>
    <xf numFmtId="0" fontId="16" fillId="2" borderId="82" xfId="10" applyFill="1" applyBorder="1">
      <alignment vertical="center"/>
    </xf>
    <xf numFmtId="0" fontId="28" fillId="2" borderId="19" xfId="10" applyFont="1" applyFill="1" applyBorder="1" applyAlignment="1">
      <alignment horizontal="center" vertical="center" wrapText="1"/>
    </xf>
    <xf numFmtId="0" fontId="28" fillId="2" borderId="20" xfId="10" applyFont="1" applyFill="1" applyBorder="1" applyAlignment="1">
      <alignment horizontal="center" vertical="center" wrapText="1"/>
    </xf>
    <xf numFmtId="0" fontId="28" fillId="2" borderId="78" xfId="10" applyFont="1" applyFill="1" applyBorder="1" applyAlignment="1">
      <alignment horizontal="center" vertical="center" wrapText="1"/>
    </xf>
    <xf numFmtId="0" fontId="16" fillId="2" borderId="38" xfId="10" applyFill="1" applyBorder="1" applyAlignment="1">
      <alignment horizontal="distributed" vertical="center"/>
    </xf>
    <xf numFmtId="0" fontId="16" fillId="2" borderId="0" xfId="10" applyFill="1" applyAlignment="1">
      <alignment horizontal="distributed" vertical="center"/>
    </xf>
    <xf numFmtId="0" fontId="16" fillId="2" borderId="43" xfId="10" applyFill="1" applyBorder="1" applyAlignment="1">
      <alignment horizontal="distributed" vertical="center"/>
    </xf>
    <xf numFmtId="0" fontId="16" fillId="2" borderId="84" xfId="10" applyFill="1" applyBorder="1" applyAlignment="1">
      <alignment horizontal="distributed" vertical="center"/>
    </xf>
    <xf numFmtId="0" fontId="16" fillId="2" borderId="0" xfId="10" applyFill="1" applyAlignment="1">
      <alignment vertical="center" wrapText="1"/>
    </xf>
    <xf numFmtId="0" fontId="16" fillId="2" borderId="21" xfId="10" applyFill="1" applyBorder="1" applyAlignment="1">
      <alignment vertical="center" wrapText="1"/>
    </xf>
    <xf numFmtId="0" fontId="16" fillId="2" borderId="64" xfId="10" applyFill="1" applyBorder="1" applyAlignment="1">
      <alignment horizontal="center" vertical="center" wrapText="1"/>
    </xf>
    <xf numFmtId="0" fontId="16" fillId="2" borderId="56" xfId="10" applyFill="1" applyBorder="1" applyAlignment="1">
      <alignment horizontal="center" vertical="center" wrapText="1"/>
    </xf>
    <xf numFmtId="0" fontId="16" fillId="2" borderId="59" xfId="10" applyFill="1" applyBorder="1" applyAlignment="1">
      <alignment horizontal="center" vertical="center" wrapText="1"/>
    </xf>
    <xf numFmtId="0" fontId="16" fillId="2" borderId="52" xfId="10" applyFill="1" applyBorder="1" applyAlignment="1">
      <alignment horizontal="center" vertical="center" wrapText="1"/>
    </xf>
    <xf numFmtId="9" fontId="16" fillId="2" borderId="44" xfId="10" applyNumberFormat="1" applyFill="1" applyBorder="1" applyAlignment="1">
      <alignment horizontal="center" vertical="center" wrapText="1"/>
    </xf>
    <xf numFmtId="9" fontId="16" fillId="2" borderId="39"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9" fontId="16" fillId="2" borderId="43" xfId="10" applyNumberFormat="1" applyFill="1" applyBorder="1" applyAlignment="1">
      <alignment horizontal="center" vertical="center" wrapText="1"/>
    </xf>
    <xf numFmtId="9" fontId="16" fillId="2" borderId="38" xfId="10" applyNumberFormat="1" applyFill="1" applyBorder="1" applyAlignment="1">
      <alignment horizontal="center" vertical="center" wrapText="1"/>
    </xf>
    <xf numFmtId="9" fontId="16" fillId="2" borderId="28" xfId="10" applyNumberFormat="1" applyFill="1" applyBorder="1" applyAlignment="1">
      <alignment horizontal="center" vertical="center" wrapText="1"/>
    </xf>
    <xf numFmtId="9" fontId="16" fillId="2" borderId="59" xfId="10" applyNumberFormat="1" applyFill="1" applyBorder="1" applyAlignment="1">
      <alignment horizontal="center" vertical="center"/>
    </xf>
    <xf numFmtId="9" fontId="16" fillId="2" borderId="52" xfId="10" applyNumberFormat="1" applyFill="1" applyBorder="1" applyAlignment="1">
      <alignment horizontal="center" vertical="center"/>
    </xf>
    <xf numFmtId="9" fontId="16" fillId="2" borderId="63" xfId="10" applyNumberFormat="1" applyFill="1" applyBorder="1" applyAlignment="1">
      <alignment horizontal="center" vertical="center" wrapText="1"/>
    </xf>
    <xf numFmtId="9" fontId="16" fillId="2" borderId="62" xfId="10" applyNumberFormat="1" applyFill="1" applyBorder="1" applyAlignment="1">
      <alignment horizontal="center" vertical="center" wrapText="1"/>
    </xf>
    <xf numFmtId="0" fontId="16" fillId="2" borderId="46" xfId="10" applyFill="1" applyBorder="1" applyAlignment="1">
      <alignment horizontal="center" vertical="center" wrapText="1"/>
    </xf>
    <xf numFmtId="0" fontId="16" fillId="2" borderId="32" xfId="10" applyFill="1" applyBorder="1" applyAlignment="1">
      <alignment horizontal="center" vertical="center" wrapText="1"/>
    </xf>
    <xf numFmtId="0" fontId="16" fillId="2" borderId="22" xfId="10" applyFill="1" applyBorder="1" applyAlignment="1">
      <alignment horizontal="center" vertical="center" wrapText="1"/>
    </xf>
    <xf numFmtId="9" fontId="16" fillId="2" borderId="61" xfId="10" applyNumberFormat="1" applyFill="1" applyBorder="1" applyAlignment="1">
      <alignment horizontal="center" vertical="center"/>
    </xf>
    <xf numFmtId="9" fontId="16" fillId="2" borderId="54" xfId="10" applyNumberFormat="1" applyFill="1" applyBorder="1" applyAlignment="1">
      <alignment horizontal="center" vertical="center"/>
    </xf>
    <xf numFmtId="0" fontId="53" fillId="2" borderId="11" xfId="12" applyFont="1" applyFill="1" applyBorder="1" applyAlignment="1" applyProtection="1">
      <alignment horizontal="left" vertical="center" indent="1"/>
    </xf>
    <xf numFmtId="0" fontId="50" fillId="2" borderId="0" xfId="12" applyFont="1" applyFill="1" applyBorder="1" applyAlignment="1" applyProtection="1">
      <alignment horizontal="left" vertical="center" indent="1"/>
    </xf>
    <xf numFmtId="0" fontId="50" fillId="2" borderId="85" xfId="12" applyFont="1" applyFill="1" applyBorder="1" applyAlignment="1" applyProtection="1">
      <alignment horizontal="left" vertical="center" indent="1"/>
    </xf>
    <xf numFmtId="184" fontId="16" fillId="2" borderId="13" xfId="10" applyNumberFormat="1" applyFill="1" applyBorder="1" applyAlignment="1">
      <alignment horizontal="center" vertical="center" wrapText="1"/>
    </xf>
    <xf numFmtId="184" fontId="16" fillId="2" borderId="14" xfId="10" applyNumberFormat="1" applyFill="1" applyBorder="1" applyAlignment="1">
      <alignment horizontal="center" vertical="center" wrapText="1"/>
    </xf>
    <xf numFmtId="184" fontId="16" fillId="2" borderId="15" xfId="10" applyNumberFormat="1" applyFill="1" applyBorder="1" applyAlignment="1">
      <alignment horizontal="center" vertical="center" wrapText="1"/>
    </xf>
    <xf numFmtId="0" fontId="16" fillId="2" borderId="66" xfId="10" applyFill="1" applyBorder="1" applyAlignment="1">
      <alignment horizontal="center" vertical="center" wrapText="1"/>
    </xf>
    <xf numFmtId="0" fontId="16" fillId="2" borderId="58" xfId="10" applyFill="1" applyBorder="1" applyAlignment="1">
      <alignment horizontal="center" vertical="center" wrapText="1"/>
    </xf>
    <xf numFmtId="0" fontId="16" fillId="2" borderId="49" xfId="10" applyFill="1" applyBorder="1" applyAlignment="1">
      <alignment horizontal="center" vertical="center" wrapText="1"/>
    </xf>
    <xf numFmtId="0" fontId="16" fillId="2" borderId="48" xfId="10" applyFill="1" applyBorder="1" applyAlignment="1">
      <alignment horizontal="center" vertical="center" wrapText="1"/>
    </xf>
    <xf numFmtId="0" fontId="16" fillId="2" borderId="31" xfId="10" applyFill="1" applyBorder="1" applyAlignment="1">
      <alignment horizontal="center" vertical="center" wrapText="1"/>
    </xf>
    <xf numFmtId="0" fontId="16" fillId="2" borderId="51" xfId="10" applyFill="1" applyBorder="1" applyAlignment="1">
      <alignment horizontal="center" vertical="center" wrapText="1"/>
    </xf>
    <xf numFmtId="0" fontId="16" fillId="2" borderId="65" xfId="10" applyFill="1" applyBorder="1" applyAlignment="1">
      <alignment horizontal="center" vertical="center" wrapText="1"/>
    </xf>
    <xf numFmtId="0" fontId="16" fillId="2" borderId="57" xfId="10" applyFill="1" applyBorder="1" applyAlignment="1">
      <alignment horizontal="center" vertical="center" wrapText="1"/>
    </xf>
    <xf numFmtId="184" fontId="16" fillId="2" borderId="17" xfId="10" applyNumberFormat="1" applyFill="1" applyBorder="1" applyAlignment="1">
      <alignment horizontal="center" vertical="center" wrapText="1"/>
    </xf>
    <xf numFmtId="184" fontId="16" fillId="2" borderId="16" xfId="10" applyNumberFormat="1" applyFill="1" applyBorder="1" applyAlignment="1">
      <alignment horizontal="center" vertical="center" wrapText="1"/>
    </xf>
    <xf numFmtId="0" fontId="16" fillId="2" borderId="50" xfId="10" applyFill="1" applyBorder="1" applyAlignment="1">
      <alignment horizontal="center" vertical="center" wrapText="1"/>
    </xf>
    <xf numFmtId="0" fontId="16" fillId="2" borderId="0" xfId="10" applyFill="1" applyAlignment="1">
      <alignment vertical="top" wrapText="1"/>
    </xf>
    <xf numFmtId="0" fontId="16" fillId="2" borderId="30" xfId="10" applyFill="1" applyBorder="1" applyAlignment="1">
      <alignment horizontal="center" vertical="center"/>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5F59778C-D544-496F-9C49-0C9BC38B328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4">
          <cell r="B4">
            <v>7</v>
          </cell>
          <cell r="C4">
            <v>89.3</v>
          </cell>
          <cell r="D4">
            <v>91</v>
          </cell>
          <cell r="E4">
            <v>88.4</v>
          </cell>
        </row>
        <row r="5">
          <cell r="B5">
            <v>8</v>
          </cell>
          <cell r="C5">
            <v>92.5</v>
          </cell>
          <cell r="D5">
            <v>92.9</v>
          </cell>
          <cell r="E5">
            <v>88.3</v>
          </cell>
        </row>
        <row r="6">
          <cell r="B6">
            <v>9</v>
          </cell>
          <cell r="C6">
            <v>92.1</v>
          </cell>
          <cell r="D6">
            <v>93.6</v>
          </cell>
          <cell r="E6">
            <v>87.6</v>
          </cell>
        </row>
        <row r="7">
          <cell r="B7">
            <v>10</v>
          </cell>
          <cell r="C7">
            <v>92.3</v>
          </cell>
          <cell r="D7">
            <v>93</v>
          </cell>
          <cell r="E7">
            <v>88.3</v>
          </cell>
        </row>
        <row r="8">
          <cell r="B8">
            <v>11</v>
          </cell>
          <cell r="C8">
            <v>93.3</v>
          </cell>
          <cell r="D8">
            <v>95.2</v>
          </cell>
          <cell r="E8">
            <v>87.6</v>
          </cell>
        </row>
        <row r="9">
          <cell r="B9">
            <v>12</v>
          </cell>
          <cell r="C9">
            <v>94</v>
          </cell>
          <cell r="D9">
            <v>94.3</v>
          </cell>
          <cell r="E9">
            <v>88.7</v>
          </cell>
        </row>
        <row r="10">
          <cell r="B10">
            <v>1</v>
          </cell>
          <cell r="C10">
            <v>94.7</v>
          </cell>
          <cell r="D10">
            <v>95.6</v>
          </cell>
          <cell r="E10">
            <v>89.7</v>
          </cell>
        </row>
        <row r="11">
          <cell r="B11">
            <v>2</v>
          </cell>
          <cell r="C11">
            <v>93.3</v>
          </cell>
          <cell r="D11">
            <v>95.6</v>
          </cell>
          <cell r="E11">
            <v>89.9</v>
          </cell>
        </row>
        <row r="12">
          <cell r="B12">
            <v>3</v>
          </cell>
          <cell r="C12">
            <v>96.2</v>
          </cell>
          <cell r="D12">
            <v>96.8</v>
          </cell>
          <cell r="E12">
            <v>90</v>
          </cell>
        </row>
        <row r="13">
          <cell r="B13">
            <v>4</v>
          </cell>
          <cell r="C13">
            <v>98</v>
          </cell>
          <cell r="D13">
            <v>98.7</v>
          </cell>
          <cell r="E13">
            <v>91.6</v>
          </cell>
        </row>
        <row r="14">
          <cell r="B14">
            <v>5</v>
          </cell>
          <cell r="C14">
            <v>99.4</v>
          </cell>
          <cell r="D14">
            <v>98.9</v>
          </cell>
          <cell r="E14">
            <v>93.1</v>
          </cell>
        </row>
        <row r="15">
          <cell r="B15">
            <v>6</v>
          </cell>
          <cell r="C15">
            <v>99.8</v>
          </cell>
          <cell r="D15">
            <v>98.9</v>
          </cell>
          <cell r="E15">
            <v>94</v>
          </cell>
        </row>
        <row r="16">
          <cell r="B16">
            <v>7</v>
          </cell>
          <cell r="C16">
            <v>99.9</v>
          </cell>
          <cell r="D16">
            <v>100.2</v>
          </cell>
          <cell r="E16">
            <v>95.3</v>
          </cell>
        </row>
        <row r="17">
          <cell r="B17">
            <v>8</v>
          </cell>
          <cell r="C17">
            <v>100.8</v>
          </cell>
          <cell r="D17">
            <v>102.3</v>
          </cell>
          <cell r="E17">
            <v>94.9</v>
          </cell>
        </row>
        <row r="18">
          <cell r="B18">
            <v>9</v>
          </cell>
          <cell r="C18">
            <v>99.9</v>
          </cell>
          <cell r="D18">
            <v>100</v>
          </cell>
          <cell r="E18">
            <v>95.3</v>
          </cell>
        </row>
        <row r="19">
          <cell r="B19">
            <v>10</v>
          </cell>
          <cell r="C19">
            <v>99</v>
          </cell>
          <cell r="D19">
            <v>98.9</v>
          </cell>
          <cell r="E19">
            <v>96.4</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ghg-santeikohyo.env.go.jp/manu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ghg-santeikohyo.env.go.jp/cal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2:AP165"/>
  <sheetViews>
    <sheetView showGridLines="0" tabSelected="1" zoomScale="85" zoomScaleNormal="85" workbookViewId="0"/>
  </sheetViews>
  <sheetFormatPr defaultRowHeight="13.5"/>
  <cols>
    <col min="1" max="1" width="1.75" customWidth="1"/>
    <col min="2" max="2" width="5.5" style="3" customWidth="1"/>
    <col min="3" max="3" width="3.875" customWidth="1"/>
    <col min="4" max="4" width="22.875" customWidth="1"/>
    <col min="5" max="7" width="18.75" customWidth="1"/>
    <col min="8" max="8" width="14" customWidth="1"/>
    <col min="9" max="9" width="15.125" customWidth="1"/>
    <col min="10" max="10" width="3.75" customWidth="1"/>
    <col min="11" max="11" width="13" hidden="1" customWidth="1"/>
    <col min="12" max="14" width="9" hidden="1" customWidth="1"/>
    <col min="15" max="15" width="4.7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8" width="9" hidden="1" customWidth="1"/>
  </cols>
  <sheetData>
    <row r="2" spans="2:15" ht="24.75" customHeight="1">
      <c r="B2" s="252" t="s">
        <v>225</v>
      </c>
      <c r="C2" s="211"/>
      <c r="O2" s="284" t="s">
        <v>223</v>
      </c>
    </row>
    <row r="3" spans="2:15" ht="18.75">
      <c r="B3" s="210"/>
      <c r="C3" s="179" t="s">
        <v>31</v>
      </c>
    </row>
    <row r="4" spans="2:15">
      <c r="B4" s="3" t="s">
        <v>0</v>
      </c>
      <c r="C4" t="s">
        <v>232</v>
      </c>
    </row>
    <row r="5" spans="2:15" ht="48.75" customHeight="1" thickBot="1">
      <c r="C5" s="178" t="s">
        <v>33</v>
      </c>
      <c r="D5" s="601" t="s">
        <v>281</v>
      </c>
      <c r="E5" s="602"/>
      <c r="F5" s="325" t="s">
        <v>315</v>
      </c>
      <c r="G5" s="326" t="s">
        <v>316</v>
      </c>
      <c r="H5" s="329" t="s">
        <v>251</v>
      </c>
      <c r="L5" s="279" t="s">
        <v>34</v>
      </c>
      <c r="M5" s="1" t="s">
        <v>251</v>
      </c>
      <c r="N5" s="280" t="s">
        <v>35</v>
      </c>
    </row>
    <row r="6" spans="2:15" ht="18" thickTop="1">
      <c r="C6" s="300"/>
      <c r="D6" s="603"/>
      <c r="E6" s="603"/>
      <c r="F6" s="301"/>
      <c r="G6" s="302"/>
      <c r="H6" s="508"/>
      <c r="L6" s="281" t="str">
        <f t="shared" ref="L6:L11" si="0">IFERROR(VLOOKUP(D6,原単位表,2),"")</f>
        <v/>
      </c>
      <c r="M6" s="45"/>
      <c r="N6" s="282" t="str">
        <f>IFERROR(ROUND(F6*L6*H6,1),"")</f>
        <v/>
      </c>
    </row>
    <row r="7" spans="2:15" ht="17.25">
      <c r="C7" s="300"/>
      <c r="D7" s="603"/>
      <c r="E7" s="603"/>
      <c r="F7" s="301"/>
      <c r="G7" s="301"/>
      <c r="H7" s="509"/>
      <c r="L7" s="281" t="str">
        <f t="shared" si="0"/>
        <v/>
      </c>
      <c r="M7" s="45"/>
      <c r="N7" s="282" t="str">
        <f t="shared" ref="N7:N11" si="1">IFERROR(ROUND(F7*L7*H7,1),"")</f>
        <v/>
      </c>
    </row>
    <row r="8" spans="2:15" ht="17.25">
      <c r="C8" s="287"/>
      <c r="D8" s="605"/>
      <c r="E8" s="606"/>
      <c r="F8" s="301"/>
      <c r="G8" s="301"/>
      <c r="H8" s="509"/>
      <c r="L8" s="281" t="str">
        <f t="shared" si="0"/>
        <v/>
      </c>
      <c r="M8" s="45"/>
      <c r="N8" s="282" t="str">
        <f t="shared" si="1"/>
        <v/>
      </c>
    </row>
    <row r="9" spans="2:15" ht="17.25">
      <c r="C9" s="287"/>
      <c r="D9" s="605"/>
      <c r="E9" s="606"/>
      <c r="F9" s="301"/>
      <c r="G9" s="301"/>
      <c r="H9" s="509"/>
      <c r="L9" s="281" t="str">
        <f t="shared" si="0"/>
        <v/>
      </c>
      <c r="M9" s="45"/>
      <c r="N9" s="282" t="str">
        <f t="shared" si="1"/>
        <v/>
      </c>
    </row>
    <row r="10" spans="2:15" ht="17.25">
      <c r="C10" s="287"/>
      <c r="D10" s="605"/>
      <c r="E10" s="606"/>
      <c r="F10" s="301"/>
      <c r="G10" s="301"/>
      <c r="H10" s="509"/>
      <c r="L10" s="281" t="str">
        <f t="shared" si="0"/>
        <v/>
      </c>
      <c r="M10" s="45"/>
      <c r="N10" s="282" t="str">
        <f t="shared" si="1"/>
        <v/>
      </c>
    </row>
    <row r="11" spans="2:15" ht="18" thickBot="1">
      <c r="C11" s="287"/>
      <c r="D11" s="605"/>
      <c r="E11" s="606"/>
      <c r="F11" s="301"/>
      <c r="G11" s="301"/>
      <c r="H11" s="509"/>
      <c r="I11" s="3" t="s">
        <v>224</v>
      </c>
      <c r="L11" s="281" t="str">
        <f t="shared" si="0"/>
        <v/>
      </c>
      <c r="M11" s="45"/>
      <c r="N11" s="282" t="str">
        <f t="shared" si="1"/>
        <v/>
      </c>
    </row>
    <row r="12" spans="2:15" ht="18" thickBot="1">
      <c r="C12" s="299"/>
      <c r="D12" s="607" t="s">
        <v>2</v>
      </c>
      <c r="E12" s="586"/>
      <c r="F12" s="303">
        <f>SUM(F6:F11)</f>
        <v>0</v>
      </c>
      <c r="G12" s="303">
        <f>SUM(G6:G11)</f>
        <v>0</v>
      </c>
      <c r="H12" s="304" t="s">
        <v>250</v>
      </c>
      <c r="I12" s="571">
        <f>N12</f>
        <v>0</v>
      </c>
      <c r="L12" s="281"/>
      <c r="M12" s="45"/>
      <c r="N12" s="283">
        <f>ROUND(SUM(N6:N11),0)</f>
        <v>0</v>
      </c>
    </row>
    <row r="13" spans="2:15">
      <c r="C13" s="3"/>
    </row>
    <row r="14" spans="2:15">
      <c r="C14" s="3"/>
    </row>
    <row r="15" spans="2:15">
      <c r="B15" s="3" t="s">
        <v>3</v>
      </c>
      <c r="C15" s="3"/>
    </row>
    <row r="16" spans="2:15" ht="72" customHeight="1" thickBot="1">
      <c r="C16" s="178" t="s">
        <v>40</v>
      </c>
      <c r="D16" s="325" t="s">
        <v>277</v>
      </c>
      <c r="E16" s="325" t="s">
        <v>278</v>
      </c>
      <c r="F16" s="325" t="s">
        <v>279</v>
      </c>
      <c r="G16" s="325" t="s">
        <v>280</v>
      </c>
      <c r="H16" s="327" t="s">
        <v>41</v>
      </c>
      <c r="I16" s="328" t="s">
        <v>42</v>
      </c>
      <c r="J16" s="207"/>
    </row>
    <row r="17" spans="2:14" ht="15.75" customHeight="1" thickTop="1">
      <c r="C17" s="510"/>
      <c r="D17" s="511"/>
      <c r="E17" s="512"/>
      <c r="F17" s="512"/>
      <c r="G17" s="513"/>
      <c r="H17" s="471"/>
      <c r="I17" s="288"/>
      <c r="J17" s="208"/>
    </row>
    <row r="18" spans="2:14" ht="15.75" customHeight="1">
      <c r="C18" s="510"/>
      <c r="D18" s="511"/>
      <c r="E18" s="512"/>
      <c r="F18" s="514"/>
      <c r="G18" s="513"/>
      <c r="H18" s="287"/>
      <c r="I18" s="287"/>
      <c r="J18" s="208"/>
    </row>
    <row r="19" spans="2:14" ht="15.75" customHeight="1">
      <c r="C19" s="510"/>
      <c r="D19" s="515"/>
      <c r="E19" s="514"/>
      <c r="F19" s="514"/>
      <c r="G19" s="513"/>
      <c r="H19" s="287"/>
      <c r="I19" s="287"/>
      <c r="J19" s="208"/>
    </row>
    <row r="20" spans="2:14" ht="15.75" customHeight="1">
      <c r="C20" s="510"/>
      <c r="D20" s="515"/>
      <c r="E20" s="514"/>
      <c r="F20" s="514"/>
      <c r="G20" s="513"/>
      <c r="H20" s="287"/>
      <c r="I20" s="287"/>
      <c r="J20" s="208"/>
    </row>
    <row r="21" spans="2:14" ht="15.75" customHeight="1">
      <c r="C21" s="510"/>
      <c r="D21" s="515"/>
      <c r="E21" s="514"/>
      <c r="F21" s="514"/>
      <c r="G21" s="513"/>
      <c r="H21" s="287"/>
      <c r="I21" s="287"/>
      <c r="J21" s="208"/>
    </row>
    <row r="22" spans="2:14" ht="15.75" customHeight="1">
      <c r="C22" s="298"/>
      <c r="D22" s="285"/>
      <c r="E22" s="514"/>
      <c r="F22" s="514"/>
      <c r="G22" s="513"/>
      <c r="H22" s="287"/>
      <c r="I22" s="289"/>
      <c r="J22" s="208"/>
    </row>
    <row r="23" spans="2:14" ht="15.75" customHeight="1">
      <c r="C23" s="298"/>
      <c r="D23" s="285"/>
      <c r="E23" s="514"/>
      <c r="F23" s="514"/>
      <c r="G23" s="513"/>
      <c r="H23" s="287"/>
      <c r="I23" s="289"/>
      <c r="J23" s="208"/>
    </row>
    <row r="24" spans="2:14" ht="15.75" customHeight="1">
      <c r="C24" s="298"/>
      <c r="D24" s="285"/>
      <c r="E24" s="514"/>
      <c r="F24" s="514"/>
      <c r="G24" s="513"/>
      <c r="H24" s="287"/>
      <c r="I24" s="289"/>
      <c r="J24" s="208"/>
    </row>
    <row r="25" spans="2:14" ht="15.75" customHeight="1">
      <c r="C25" s="298"/>
      <c r="D25" s="285"/>
      <c r="E25" s="514"/>
      <c r="F25" s="514"/>
      <c r="G25" s="513"/>
      <c r="H25" s="287"/>
      <c r="I25" s="289"/>
      <c r="J25" s="208"/>
    </row>
    <row r="26" spans="2:14" ht="15.75" customHeight="1">
      <c r="C26" s="298"/>
      <c r="D26" s="285"/>
      <c r="E26" s="514"/>
      <c r="F26" s="514"/>
      <c r="G26" s="513"/>
      <c r="H26" s="287"/>
      <c r="I26" s="289"/>
      <c r="J26" s="208"/>
    </row>
    <row r="27" spans="2:14">
      <c r="C27" s="299"/>
      <c r="D27" s="299" t="s">
        <v>2</v>
      </c>
      <c r="E27" s="299"/>
      <c r="F27" s="299"/>
      <c r="G27" s="517">
        <f>SUM(G17:G26)</f>
        <v>0</v>
      </c>
      <c r="H27" s="299"/>
      <c r="I27" s="507"/>
    </row>
    <row r="28" spans="2:14">
      <c r="D28" s="604" t="s">
        <v>43</v>
      </c>
      <c r="E28" s="604"/>
      <c r="F28" s="604"/>
      <c r="G28" s="604"/>
    </row>
    <row r="29" spans="2:14">
      <c r="D29" s="160"/>
      <c r="E29" s="160"/>
      <c r="F29" s="160"/>
      <c r="G29" s="160"/>
    </row>
    <row r="30" spans="2:14">
      <c r="C30" s="179" t="s">
        <v>44</v>
      </c>
    </row>
    <row r="31" spans="2:14">
      <c r="B31" s="3" t="s">
        <v>17</v>
      </c>
      <c r="C31" t="s">
        <v>32</v>
      </c>
    </row>
    <row r="32" spans="2:14" ht="48" customHeight="1" thickBot="1">
      <c r="C32" s="178" t="s">
        <v>33</v>
      </c>
      <c r="D32" s="601" t="s">
        <v>281</v>
      </c>
      <c r="E32" s="602"/>
      <c r="F32" s="325" t="s">
        <v>315</v>
      </c>
      <c r="G32" s="325" t="s">
        <v>316</v>
      </c>
      <c r="H32" s="329" t="s">
        <v>251</v>
      </c>
      <c r="L32" s="1" t="s">
        <v>34</v>
      </c>
      <c r="M32" s="1" t="s">
        <v>251</v>
      </c>
      <c r="N32" s="1" t="s">
        <v>35</v>
      </c>
    </row>
    <row r="33" spans="2:14" ht="18" thickTop="1">
      <c r="C33" s="300"/>
      <c r="D33" s="603"/>
      <c r="E33" s="603"/>
      <c r="F33" s="301"/>
      <c r="G33" s="301"/>
      <c r="H33" s="509"/>
      <c r="L33" s="76" t="str">
        <f t="shared" ref="L33:L38" si="2">IFERROR(VLOOKUP(D33,原単位表,2),"")</f>
        <v/>
      </c>
      <c r="M33" s="45"/>
      <c r="N33" s="282" t="str">
        <f>IFERROR(ROUND(F33*L33*H33,1),"")</f>
        <v/>
      </c>
    </row>
    <row r="34" spans="2:14" ht="17.25">
      <c r="C34" s="300"/>
      <c r="D34" s="603"/>
      <c r="E34" s="603"/>
      <c r="F34" s="301"/>
      <c r="G34" s="301"/>
      <c r="H34" s="509"/>
      <c r="L34" s="76" t="str">
        <f t="shared" si="2"/>
        <v/>
      </c>
      <c r="M34" s="45"/>
      <c r="N34" s="282" t="str">
        <f t="shared" ref="N34:N38" si="3">IFERROR(ROUND(F34*L34*H34,1),"")</f>
        <v/>
      </c>
    </row>
    <row r="35" spans="2:14" ht="17.25">
      <c r="C35" s="305"/>
      <c r="D35" s="603"/>
      <c r="E35" s="603"/>
      <c r="F35" s="301"/>
      <c r="G35" s="301"/>
      <c r="H35" s="509"/>
      <c r="L35" s="76" t="str">
        <f t="shared" si="2"/>
        <v/>
      </c>
      <c r="M35" s="45"/>
      <c r="N35" s="282" t="str">
        <f t="shared" si="3"/>
        <v/>
      </c>
    </row>
    <row r="36" spans="2:14" ht="17.25">
      <c r="C36" s="305"/>
      <c r="D36" s="603"/>
      <c r="E36" s="603"/>
      <c r="F36" s="301"/>
      <c r="G36" s="301"/>
      <c r="H36" s="509"/>
      <c r="L36" s="76" t="str">
        <f t="shared" si="2"/>
        <v/>
      </c>
      <c r="M36" s="45"/>
      <c r="N36" s="282" t="str">
        <f t="shared" si="3"/>
        <v/>
      </c>
    </row>
    <row r="37" spans="2:14" ht="17.25">
      <c r="C37" s="516"/>
      <c r="D37" s="603"/>
      <c r="E37" s="603"/>
      <c r="F37" s="301"/>
      <c r="G37" s="301"/>
      <c r="H37" s="509"/>
      <c r="L37" s="76" t="str">
        <f t="shared" si="2"/>
        <v/>
      </c>
      <c r="M37" s="45"/>
      <c r="N37" s="282" t="str">
        <f t="shared" si="3"/>
        <v/>
      </c>
    </row>
    <row r="38" spans="2:14" ht="18" thickBot="1">
      <c r="C38" s="305"/>
      <c r="D38" s="603"/>
      <c r="E38" s="603"/>
      <c r="F38" s="301"/>
      <c r="G38" s="301"/>
      <c r="H38" s="509"/>
      <c r="I38" s="3" t="s">
        <v>224</v>
      </c>
      <c r="L38" s="76" t="str">
        <f t="shared" si="2"/>
        <v/>
      </c>
      <c r="M38" s="45"/>
      <c r="N38" s="282" t="str">
        <f t="shared" si="3"/>
        <v/>
      </c>
    </row>
    <row r="39" spans="2:14" ht="18" thickBot="1">
      <c r="C39" s="1"/>
      <c r="D39" s="608" t="s">
        <v>2</v>
      </c>
      <c r="E39" s="609"/>
      <c r="F39" s="303">
        <f>SUM(F33:F38)</f>
        <v>0</v>
      </c>
      <c r="G39" s="303">
        <f>SUM(G33:G38)</f>
        <v>0</v>
      </c>
      <c r="H39" s="304" t="s">
        <v>252</v>
      </c>
      <c r="I39" s="571">
        <f>N39</f>
        <v>0</v>
      </c>
      <c r="L39" s="76"/>
      <c r="M39" s="45"/>
      <c r="N39" s="77">
        <f>ROUND(SUM(N33:N38),0)</f>
        <v>0</v>
      </c>
    </row>
    <row r="42" spans="2:14">
      <c r="B42" s="3" t="s">
        <v>19</v>
      </c>
      <c r="C42" t="s">
        <v>39</v>
      </c>
    </row>
    <row r="43" spans="2:14" ht="72.75" customHeight="1" thickBot="1">
      <c r="C43" s="178" t="s">
        <v>40</v>
      </c>
      <c r="D43" s="325" t="s">
        <v>277</v>
      </c>
      <c r="E43" s="325" t="s">
        <v>278</v>
      </c>
      <c r="F43" s="325" t="s">
        <v>279</v>
      </c>
      <c r="G43" s="325" t="s">
        <v>280</v>
      </c>
      <c r="H43" s="327" t="s">
        <v>41</v>
      </c>
      <c r="I43" s="328" t="s">
        <v>42</v>
      </c>
      <c r="J43" s="207"/>
    </row>
    <row r="44" spans="2:14" ht="16.5" customHeight="1" thickTop="1">
      <c r="C44" s="510"/>
      <c r="D44" s="511"/>
      <c r="E44" s="512"/>
      <c r="F44" s="512"/>
      <c r="G44" s="513"/>
      <c r="H44" s="287"/>
      <c r="I44" s="288"/>
      <c r="J44" s="208"/>
    </row>
    <row r="45" spans="2:14" ht="16.5" customHeight="1">
      <c r="C45" s="510"/>
      <c r="D45" s="511"/>
      <c r="E45" s="512"/>
      <c r="F45" s="514"/>
      <c r="G45" s="513"/>
      <c r="H45" s="287"/>
      <c r="I45" s="287"/>
      <c r="J45" s="208"/>
    </row>
    <row r="46" spans="2:14" ht="16.5" customHeight="1">
      <c r="C46" s="510"/>
      <c r="D46" s="515"/>
      <c r="E46" s="514"/>
      <c r="F46" s="514"/>
      <c r="G46" s="513"/>
      <c r="H46" s="287"/>
      <c r="I46" s="287"/>
      <c r="J46" s="208"/>
    </row>
    <row r="47" spans="2:14" ht="16.5" customHeight="1">
      <c r="C47" s="510"/>
      <c r="D47" s="515"/>
      <c r="E47" s="514"/>
      <c r="F47" s="514"/>
      <c r="G47" s="513"/>
      <c r="H47" s="287"/>
      <c r="I47" s="287"/>
      <c r="J47" s="208"/>
    </row>
    <row r="48" spans="2:14" ht="16.5" customHeight="1">
      <c r="C48" s="510"/>
      <c r="D48" s="515"/>
      <c r="E48" s="514"/>
      <c r="F48" s="514"/>
      <c r="G48" s="513"/>
      <c r="H48" s="287"/>
      <c r="I48" s="287"/>
      <c r="J48" s="208"/>
    </row>
    <row r="49" spans="3:36" ht="16.5" customHeight="1">
      <c r="C49" s="298"/>
      <c r="D49" s="285"/>
      <c r="E49" s="514"/>
      <c r="F49" s="512"/>
      <c r="G49" s="513"/>
      <c r="H49" s="287"/>
      <c r="I49" s="289"/>
      <c r="J49" s="208"/>
    </row>
    <row r="50" spans="3:36" ht="16.5" customHeight="1">
      <c r="C50" s="298"/>
      <c r="D50" s="286"/>
      <c r="E50" s="363"/>
      <c r="F50" s="363"/>
      <c r="G50" s="364"/>
      <c r="H50" s="287"/>
      <c r="I50" s="289"/>
      <c r="J50" s="208"/>
    </row>
    <row r="51" spans="3:36" ht="16.5" customHeight="1">
      <c r="C51" s="298"/>
      <c r="D51" s="286"/>
      <c r="E51" s="363"/>
      <c r="F51" s="363"/>
      <c r="G51" s="364"/>
      <c r="H51" s="287"/>
      <c r="I51" s="289"/>
      <c r="J51" s="208"/>
    </row>
    <row r="52" spans="3:36" ht="16.5" customHeight="1">
      <c r="C52" s="298"/>
      <c r="D52" s="286"/>
      <c r="E52" s="363"/>
      <c r="F52" s="363"/>
      <c r="G52" s="365"/>
      <c r="H52" s="287"/>
      <c r="I52" s="289"/>
      <c r="J52" s="208"/>
    </row>
    <row r="53" spans="3:36" ht="16.5" customHeight="1">
      <c r="C53" s="298"/>
      <c r="D53" s="286"/>
      <c r="E53" s="366"/>
      <c r="F53" s="366"/>
      <c r="G53" s="365"/>
      <c r="H53" s="287"/>
      <c r="I53" s="289"/>
      <c r="J53" s="208"/>
    </row>
    <row r="54" spans="3:36">
      <c r="C54" s="299"/>
      <c r="D54" s="299" t="s">
        <v>2</v>
      </c>
      <c r="E54" s="299"/>
      <c r="F54" s="299"/>
      <c r="G54" s="517">
        <f>SUM(G44:G53)</f>
        <v>0</v>
      </c>
      <c r="H54" s="299"/>
      <c r="I54" s="507"/>
    </row>
    <row r="55" spans="3:36">
      <c r="C55" s="3"/>
      <c r="D55" s="604" t="s">
        <v>43</v>
      </c>
      <c r="E55" s="604"/>
      <c r="F55" s="604"/>
      <c r="G55" s="604"/>
      <c r="H55" s="256"/>
      <c r="I55" s="256"/>
    </row>
    <row r="57" spans="3:36" ht="6.75" customHeight="1"/>
    <row r="58" spans="3:36" ht="18.75">
      <c r="P58" s="252" t="s">
        <v>225</v>
      </c>
      <c r="R58" s="26"/>
      <c r="S58" s="26"/>
      <c r="T58" s="26"/>
      <c r="U58" s="26"/>
      <c r="V58" s="26"/>
      <c r="W58" s="26"/>
      <c r="X58" s="26"/>
      <c r="Y58" s="26"/>
      <c r="Z58" s="26"/>
      <c r="AA58" s="26"/>
      <c r="AB58" s="26"/>
      <c r="AC58" s="27"/>
      <c r="AD58" s="28"/>
      <c r="AE58" s="29"/>
      <c r="AF58" s="30"/>
      <c r="AG58" s="26"/>
      <c r="AH58" s="26"/>
    </row>
    <row r="59" spans="3:36" ht="7.5" customHeight="1">
      <c r="Q59" s="30"/>
      <c r="R59" s="26"/>
      <c r="S59" s="26"/>
      <c r="T59" s="26"/>
      <c r="U59" s="26"/>
      <c r="V59" s="26"/>
      <c r="W59" s="26"/>
      <c r="X59" s="26"/>
      <c r="Y59" s="26"/>
      <c r="Z59" s="26"/>
      <c r="AA59" s="26"/>
      <c r="AB59" s="26"/>
      <c r="AC59" s="26"/>
      <c r="AD59" s="28"/>
      <c r="AE59" s="31"/>
      <c r="AF59" s="31"/>
      <c r="AG59" s="26"/>
      <c r="AH59" s="26"/>
    </row>
    <row r="60" spans="3:36" ht="17.25">
      <c r="P60" s="32" t="s">
        <v>63</v>
      </c>
      <c r="Q60" s="161"/>
      <c r="R60" s="26"/>
      <c r="S60" s="26"/>
      <c r="T60" s="26"/>
      <c r="U60" s="26"/>
      <c r="V60" s="26"/>
      <c r="W60" s="26"/>
      <c r="X60" s="209" t="s">
        <v>210</v>
      </c>
      <c r="Y60" s="26"/>
      <c r="Z60" s="26"/>
      <c r="AA60" s="26"/>
      <c r="AB60" s="26"/>
      <c r="AC60" s="26"/>
      <c r="AD60" s="28"/>
      <c r="AE60" s="31"/>
      <c r="AF60" s="31"/>
      <c r="AG60" s="26"/>
      <c r="AH60" s="26"/>
    </row>
    <row r="61" spans="3:36" ht="13.5" customHeight="1">
      <c r="P61" s="579" t="s">
        <v>64</v>
      </c>
      <c r="Q61" s="626" t="s">
        <v>65</v>
      </c>
      <c r="R61" s="626" t="s">
        <v>6</v>
      </c>
      <c r="S61" s="626" t="s">
        <v>66</v>
      </c>
      <c r="T61" s="630" t="s">
        <v>67</v>
      </c>
      <c r="U61" s="631"/>
      <c r="V61" s="628" t="s">
        <v>68</v>
      </c>
      <c r="W61" s="609"/>
      <c r="X61" s="1"/>
      <c r="Y61" s="3"/>
      <c r="Z61" s="26"/>
      <c r="AA61" s="26"/>
      <c r="AB61" s="26"/>
      <c r="AC61" s="26"/>
      <c r="AD61" s="28"/>
      <c r="AE61" s="31"/>
      <c r="AF61" s="610" t="s">
        <v>69</v>
      </c>
      <c r="AG61" s="26"/>
      <c r="AH61" s="26"/>
    </row>
    <row r="62" spans="3:36" ht="15" customHeight="1" thickBot="1">
      <c r="P62" s="580"/>
      <c r="Q62" s="627"/>
      <c r="R62" s="580"/>
      <c r="S62" s="629"/>
      <c r="T62" s="48" t="s">
        <v>70</v>
      </c>
      <c r="U62" s="48" t="s">
        <v>71</v>
      </c>
      <c r="V62" s="33" t="s">
        <v>72</v>
      </c>
      <c r="W62" s="33" t="s">
        <v>73</v>
      </c>
      <c r="X62" s="159" t="s">
        <v>35</v>
      </c>
      <c r="Y62" s="30"/>
      <c r="Z62" s="112" t="s">
        <v>74</v>
      </c>
      <c r="AA62" s="94" t="s">
        <v>75</v>
      </c>
      <c r="AB62" s="78" t="s">
        <v>76</v>
      </c>
      <c r="AC62" s="150" t="s">
        <v>35</v>
      </c>
      <c r="AF62" s="610"/>
      <c r="AG62" s="94" t="s">
        <v>77</v>
      </c>
      <c r="AH62" s="78"/>
      <c r="AI62" s="78"/>
      <c r="AJ62" s="78"/>
    </row>
    <row r="63" spans="3:36" ht="15" customHeight="1" thickBot="1">
      <c r="P63" s="587" t="s">
        <v>78</v>
      </c>
      <c r="Q63" s="487">
        <v>1</v>
      </c>
      <c r="R63" s="522"/>
      <c r="S63" s="523"/>
      <c r="T63" s="524"/>
      <c r="U63" s="525"/>
      <c r="V63" s="526"/>
      <c r="W63" s="526"/>
      <c r="X63" s="307" t="str">
        <f>AC63</f>
        <v/>
      </c>
      <c r="Y63" s="26"/>
      <c r="Z63" s="151">
        <f t="shared" ref="Z63:Z68" si="4">IFERROR(VLOOKUP(T63*1000,$AG$71:$AH$79,2),"")</f>
        <v>500</v>
      </c>
      <c r="AA63" s="152" t="str">
        <f>IFERROR(ROUND(EXP(2.71-0.812*LN(U63)-0.654*LN(Z63)),4),"")</f>
        <v/>
      </c>
      <c r="AB63" s="153" t="str">
        <f>IFERROR(ROUND($AJ$68*AA63,4),"")</f>
        <v/>
      </c>
      <c r="AC63" s="154" t="str">
        <f>IFERROR(ROUND(V63*W63*AB63/1000,1),"")</f>
        <v/>
      </c>
      <c r="AF63" s="78" t="s">
        <v>79</v>
      </c>
      <c r="AG63" s="78"/>
      <c r="AH63" s="78"/>
      <c r="AI63" s="78"/>
      <c r="AJ63" s="78"/>
    </row>
    <row r="64" spans="3:36" ht="15" customHeight="1" thickBot="1">
      <c r="P64" s="588"/>
      <c r="Q64" s="487">
        <v>2</v>
      </c>
      <c r="R64" s="522"/>
      <c r="S64" s="523"/>
      <c r="T64" s="524"/>
      <c r="U64" s="525"/>
      <c r="V64" s="526"/>
      <c r="W64" s="526"/>
      <c r="X64" s="307" t="str">
        <f t="shared" ref="X64:X75" si="5">AC64</f>
        <v/>
      </c>
      <c r="Y64" s="26"/>
      <c r="Z64" s="151">
        <f t="shared" si="4"/>
        <v>500</v>
      </c>
      <c r="AA64" s="152" t="str">
        <f t="shared" ref="AA64:AA68" si="6">IFERROR(ROUND(EXP(2.71-0.812*LN(U64)-0.654*LN(Z64)),4),"")</f>
        <v/>
      </c>
      <c r="AB64" s="153" t="str">
        <f t="shared" ref="AB64:AB75" si="7">IFERROR(ROUND($AJ$68*AA64,4),"")</f>
        <v/>
      </c>
      <c r="AC64" s="154" t="str">
        <f t="shared" ref="AC64:AC68" si="8">IFERROR(ROUND(V64*W64*AB64/1000,1),"")</f>
        <v/>
      </c>
      <c r="AF64" s="78"/>
      <c r="AG64" s="111">
        <v>5000</v>
      </c>
      <c r="AH64" s="78" t="s">
        <v>80</v>
      </c>
      <c r="AI64" s="78"/>
      <c r="AJ64" s="78"/>
    </row>
    <row r="65" spans="16:37" ht="15" customHeight="1" thickBot="1">
      <c r="P65" s="588"/>
      <c r="Q65" s="487">
        <v>3</v>
      </c>
      <c r="R65" s="522"/>
      <c r="S65" s="523"/>
      <c r="T65" s="524"/>
      <c r="U65" s="525"/>
      <c r="V65" s="526"/>
      <c r="W65" s="526"/>
      <c r="X65" s="307" t="str">
        <f t="shared" si="5"/>
        <v/>
      </c>
      <c r="Y65" s="26"/>
      <c r="Z65" s="151">
        <f t="shared" si="4"/>
        <v>500</v>
      </c>
      <c r="AA65" s="152" t="str">
        <f t="shared" si="6"/>
        <v/>
      </c>
      <c r="AB65" s="153" t="str">
        <f t="shared" si="7"/>
        <v/>
      </c>
      <c r="AC65" s="154" t="str">
        <f t="shared" si="8"/>
        <v/>
      </c>
      <c r="AF65" s="112" t="s">
        <v>74</v>
      </c>
      <c r="AG65" s="80">
        <f>VLOOKUP(AG64,AG71:AH79,2)</f>
        <v>5000</v>
      </c>
      <c r="AH65" s="78" t="s">
        <v>80</v>
      </c>
      <c r="AI65" s="78"/>
      <c r="AJ65" s="78"/>
    </row>
    <row r="66" spans="16:37" ht="15" customHeight="1" thickBot="1">
      <c r="P66" s="588"/>
      <c r="Q66" s="488">
        <v>4</v>
      </c>
      <c r="R66" s="527"/>
      <c r="S66" s="528"/>
      <c r="T66" s="524"/>
      <c r="U66" s="525"/>
      <c r="V66" s="529"/>
      <c r="W66" s="529"/>
      <c r="X66" s="307" t="str">
        <f t="shared" si="5"/>
        <v/>
      </c>
      <c r="Y66" s="26"/>
      <c r="Z66" s="151">
        <f t="shared" si="4"/>
        <v>500</v>
      </c>
      <c r="AA66" s="152" t="str">
        <f t="shared" si="6"/>
        <v/>
      </c>
      <c r="AB66" s="153" t="str">
        <f t="shared" si="7"/>
        <v/>
      </c>
      <c r="AC66" s="154" t="str">
        <f t="shared" si="8"/>
        <v/>
      </c>
      <c r="AF66" s="112" t="s">
        <v>81</v>
      </c>
      <c r="AG66" s="111">
        <v>50</v>
      </c>
      <c r="AH66" s="78" t="s">
        <v>82</v>
      </c>
      <c r="AI66" s="78"/>
      <c r="AJ66" s="78"/>
    </row>
    <row r="67" spans="16:37" ht="15" customHeight="1" thickBot="1">
      <c r="P67" s="588"/>
      <c r="Q67" s="488">
        <v>5</v>
      </c>
      <c r="R67" s="527"/>
      <c r="S67" s="528"/>
      <c r="T67" s="524"/>
      <c r="U67" s="525"/>
      <c r="V67" s="529"/>
      <c r="W67" s="529"/>
      <c r="X67" s="307" t="str">
        <f t="shared" si="5"/>
        <v/>
      </c>
      <c r="Y67" s="26"/>
      <c r="Z67" s="151">
        <f t="shared" si="4"/>
        <v>500</v>
      </c>
      <c r="AA67" s="152" t="str">
        <f t="shared" si="6"/>
        <v/>
      </c>
      <c r="AB67" s="153" t="str">
        <f t="shared" si="7"/>
        <v/>
      </c>
      <c r="AC67" s="154" t="str">
        <f t="shared" si="8"/>
        <v/>
      </c>
      <c r="AF67" s="94" t="s">
        <v>75</v>
      </c>
      <c r="AG67" s="78" t="s">
        <v>83</v>
      </c>
      <c r="AH67" s="78" t="s">
        <v>84</v>
      </c>
      <c r="AI67" s="109" t="s">
        <v>85</v>
      </c>
      <c r="AJ67" s="3" t="s">
        <v>86</v>
      </c>
      <c r="AK67" s="78" t="s">
        <v>87</v>
      </c>
    </row>
    <row r="68" spans="16:37" ht="15" customHeight="1" thickBot="1">
      <c r="P68" s="588"/>
      <c r="Q68" s="488"/>
      <c r="R68" s="530"/>
      <c r="S68" s="528"/>
      <c r="T68" s="524"/>
      <c r="U68" s="525"/>
      <c r="V68" s="529"/>
      <c r="W68" s="529"/>
      <c r="X68" s="308" t="str">
        <f t="shared" si="5"/>
        <v/>
      </c>
      <c r="Y68" s="26"/>
      <c r="Z68" s="151">
        <f t="shared" si="4"/>
        <v>500</v>
      </c>
      <c r="AA68" s="152" t="str">
        <f t="shared" si="6"/>
        <v/>
      </c>
      <c r="AB68" s="153" t="str">
        <f t="shared" si="7"/>
        <v/>
      </c>
      <c r="AC68" s="154" t="str">
        <f t="shared" si="8"/>
        <v/>
      </c>
      <c r="AF68" s="106">
        <f>ROUND(EXP(2.71-0.812*LN(AG66/100)-0.654*LN(AG65)),4)</f>
        <v>0.10050000000000001</v>
      </c>
      <c r="AG68" s="78">
        <v>37.700000000000003</v>
      </c>
      <c r="AH68" s="78">
        <v>1.8700000000000001E-2</v>
      </c>
      <c r="AI68" s="78">
        <f>44/12</f>
        <v>3.6666666666666665</v>
      </c>
      <c r="AJ68" s="156">
        <f>AG68*AH68*AI68</f>
        <v>2.5849633333333335</v>
      </c>
      <c r="AK68" s="105">
        <f>ROUND(AF68*AJ68,4)</f>
        <v>0.25979999999999998</v>
      </c>
    </row>
    <row r="69" spans="16:37" ht="15" customHeight="1" thickBot="1">
      <c r="P69" s="589"/>
      <c r="Q69" s="341"/>
      <c r="R69" s="342" t="s">
        <v>88</v>
      </c>
      <c r="S69" s="343"/>
      <c r="T69" s="309"/>
      <c r="U69" s="309"/>
      <c r="V69" s="310"/>
      <c r="W69" s="311" t="s">
        <v>38</v>
      </c>
      <c r="X69" s="312">
        <f>ROUND(SUM(X63:X68),0)</f>
        <v>0</v>
      </c>
      <c r="Y69" s="26"/>
      <c r="Z69" s="170"/>
      <c r="AA69" s="171"/>
      <c r="AB69" s="172"/>
      <c r="AC69" s="173">
        <f>SUM(AC63:AC68)</f>
        <v>0</v>
      </c>
      <c r="AD69" s="157"/>
      <c r="AF69" s="94" t="s">
        <v>90</v>
      </c>
      <c r="AG69" s="94" t="s">
        <v>91</v>
      </c>
      <c r="AH69" s="78" t="s">
        <v>92</v>
      </c>
      <c r="AI69" s="78"/>
      <c r="AK69" s="78" t="s">
        <v>93</v>
      </c>
    </row>
    <row r="70" spans="16:37" ht="15" customHeight="1" thickTop="1" thickBot="1">
      <c r="P70" s="588" t="s">
        <v>89</v>
      </c>
      <c r="Q70" s="489">
        <v>1</v>
      </c>
      <c r="R70" s="531"/>
      <c r="S70" s="532"/>
      <c r="T70" s="533"/>
      <c r="U70" s="534"/>
      <c r="V70" s="535"/>
      <c r="W70" s="535"/>
      <c r="X70" s="313" t="str">
        <f t="shared" si="5"/>
        <v/>
      </c>
      <c r="Y70" s="26"/>
      <c r="Z70" s="166">
        <f t="shared" ref="Z70:Z75" si="9">IFERROR(VLOOKUP(T70*1000,$AG$71:$AH$79,2),"")</f>
        <v>500</v>
      </c>
      <c r="AA70" s="167" t="str">
        <f>IFERROR(ROUND(EXP(2.71-0.812*LN(U70)-0.654*LN(Z70)),4),"")</f>
        <v/>
      </c>
      <c r="AB70" s="168" t="str">
        <f>IFERROR(ROUND($AJ$68*AA70,4),"")</f>
        <v/>
      </c>
      <c r="AC70" s="169" t="str">
        <f>IFERROR(ROUND(V70*W70*AB70/1000,1),"")</f>
        <v/>
      </c>
      <c r="AF70" s="78"/>
      <c r="AG70" s="78"/>
      <c r="AH70" s="78"/>
      <c r="AI70" s="78"/>
      <c r="AJ70" s="78"/>
    </row>
    <row r="71" spans="16:37" ht="15" customHeight="1" thickBot="1">
      <c r="P71" s="588"/>
      <c r="Q71" s="487">
        <v>2</v>
      </c>
      <c r="R71" s="522"/>
      <c r="S71" s="523"/>
      <c r="T71" s="524"/>
      <c r="U71" s="525"/>
      <c r="V71" s="526"/>
      <c r="W71" s="526"/>
      <c r="X71" s="307" t="str">
        <f t="shared" si="5"/>
        <v/>
      </c>
      <c r="Y71" s="26"/>
      <c r="Z71" s="151">
        <f t="shared" si="9"/>
        <v>500</v>
      </c>
      <c r="AA71" s="152" t="str">
        <f t="shared" ref="AA71:AA75" si="10">IFERROR(ROUND(EXP(2.71-0.812*LN(U71)-0.654*LN(Z71)),4),"")</f>
        <v/>
      </c>
      <c r="AB71" s="153" t="str">
        <f t="shared" si="7"/>
        <v/>
      </c>
      <c r="AC71" s="154" t="str">
        <f t="shared" ref="AC71:AC75" si="11">IFERROR(ROUND(V71*W71*AB71/1000,1),"")</f>
        <v/>
      </c>
      <c r="AF71" s="78"/>
      <c r="AG71" s="80">
        <v>0</v>
      </c>
      <c r="AH71" s="80">
        <v>500</v>
      </c>
      <c r="AI71" s="78"/>
      <c r="AJ71" s="78"/>
    </row>
    <row r="72" spans="16:37" ht="15" customHeight="1" thickBot="1">
      <c r="P72" s="588"/>
      <c r="Q72" s="487">
        <v>3</v>
      </c>
      <c r="R72" s="522"/>
      <c r="S72" s="523"/>
      <c r="T72" s="524"/>
      <c r="U72" s="525"/>
      <c r="V72" s="526"/>
      <c r="W72" s="526"/>
      <c r="X72" s="307" t="str">
        <f t="shared" si="5"/>
        <v/>
      </c>
      <c r="Y72" s="26"/>
      <c r="Z72" s="151">
        <f t="shared" si="9"/>
        <v>500</v>
      </c>
      <c r="AA72" s="152" t="str">
        <f t="shared" si="10"/>
        <v/>
      </c>
      <c r="AB72" s="153" t="str">
        <f t="shared" si="7"/>
        <v/>
      </c>
      <c r="AC72" s="154" t="str">
        <f t="shared" si="11"/>
        <v/>
      </c>
      <c r="AF72" s="78"/>
      <c r="AG72" s="80">
        <v>1000</v>
      </c>
      <c r="AH72" s="80">
        <v>1500</v>
      </c>
      <c r="AI72" s="78"/>
      <c r="AJ72" s="78"/>
    </row>
    <row r="73" spans="16:37" ht="15" customHeight="1" thickBot="1">
      <c r="P73" s="588"/>
      <c r="Q73" s="488">
        <v>4</v>
      </c>
      <c r="R73" s="527"/>
      <c r="S73" s="528"/>
      <c r="T73" s="524"/>
      <c r="U73" s="525"/>
      <c r="V73" s="529"/>
      <c r="W73" s="529"/>
      <c r="X73" s="307" t="str">
        <f t="shared" si="5"/>
        <v/>
      </c>
      <c r="Y73" s="26"/>
      <c r="Z73" s="151">
        <f t="shared" si="9"/>
        <v>500</v>
      </c>
      <c r="AA73" s="152" t="str">
        <f t="shared" si="10"/>
        <v/>
      </c>
      <c r="AB73" s="153" t="str">
        <f t="shared" si="7"/>
        <v/>
      </c>
      <c r="AC73" s="154" t="str">
        <f t="shared" si="11"/>
        <v/>
      </c>
      <c r="AF73" s="78"/>
      <c r="AG73" s="80">
        <v>2000</v>
      </c>
      <c r="AH73" s="80">
        <v>3000</v>
      </c>
      <c r="AI73" s="78"/>
      <c r="AJ73" s="78"/>
    </row>
    <row r="74" spans="16:37" ht="15" customHeight="1" thickBot="1">
      <c r="P74" s="588"/>
      <c r="Q74" s="488">
        <v>5</v>
      </c>
      <c r="R74" s="527"/>
      <c r="S74" s="528"/>
      <c r="T74" s="524"/>
      <c r="U74" s="525"/>
      <c r="V74" s="529"/>
      <c r="W74" s="529"/>
      <c r="X74" s="307" t="str">
        <f t="shared" si="5"/>
        <v/>
      </c>
      <c r="Y74" s="26"/>
      <c r="Z74" s="151">
        <f t="shared" si="9"/>
        <v>500</v>
      </c>
      <c r="AA74" s="152" t="str">
        <f t="shared" si="10"/>
        <v/>
      </c>
      <c r="AB74" s="153" t="str">
        <f t="shared" si="7"/>
        <v/>
      </c>
      <c r="AC74" s="154" t="str">
        <f t="shared" si="11"/>
        <v/>
      </c>
      <c r="AF74" s="78"/>
      <c r="AG74" s="80">
        <v>4000</v>
      </c>
      <c r="AH74" s="80">
        <v>5000</v>
      </c>
      <c r="AI74" s="78"/>
      <c r="AJ74" s="78"/>
    </row>
    <row r="75" spans="16:37" ht="15" customHeight="1" thickBot="1">
      <c r="P75" s="588"/>
      <c r="Q75" s="493"/>
      <c r="R75" s="536"/>
      <c r="S75" s="537"/>
      <c r="T75" s="538"/>
      <c r="U75" s="539"/>
      <c r="V75" s="540"/>
      <c r="W75" s="540"/>
      <c r="X75" s="308" t="str">
        <f t="shared" si="5"/>
        <v/>
      </c>
      <c r="Y75" s="26"/>
      <c r="Z75" s="151">
        <f t="shared" si="9"/>
        <v>500</v>
      </c>
      <c r="AA75" s="152" t="str">
        <f t="shared" si="10"/>
        <v/>
      </c>
      <c r="AB75" s="153" t="str">
        <f t="shared" si="7"/>
        <v/>
      </c>
      <c r="AC75" s="154" t="str">
        <f t="shared" si="11"/>
        <v/>
      </c>
      <c r="AF75" s="78"/>
      <c r="AG75" s="80">
        <v>6000</v>
      </c>
      <c r="AH75" s="80">
        <v>7000</v>
      </c>
      <c r="AI75" s="78"/>
      <c r="AJ75" s="78"/>
    </row>
    <row r="76" spans="16:37" ht="15" customHeight="1" thickBot="1">
      <c r="P76" s="590"/>
      <c r="Q76" s="340"/>
      <c r="R76" s="344" t="s">
        <v>88</v>
      </c>
      <c r="S76" s="339"/>
      <c r="T76" s="149"/>
      <c r="U76" s="149"/>
      <c r="V76" s="149"/>
      <c r="W76" s="314" t="s">
        <v>45</v>
      </c>
      <c r="X76" s="312">
        <f>ROUND(SUM(X70:X75),0)</f>
        <v>0</v>
      </c>
      <c r="Y76" s="26"/>
      <c r="Z76" s="163"/>
      <c r="AA76" s="164"/>
      <c r="AB76" s="165"/>
      <c r="AC76" s="155">
        <f>SUM(AC70:AC75)</f>
        <v>0</v>
      </c>
      <c r="AF76" s="78"/>
      <c r="AG76" s="80">
        <v>8000</v>
      </c>
      <c r="AH76" s="80">
        <v>9000</v>
      </c>
      <c r="AI76" s="78"/>
      <c r="AJ76" s="78"/>
    </row>
    <row r="77" spans="16:37">
      <c r="Q77" s="345"/>
      <c r="R77" s="346"/>
      <c r="S77" s="346"/>
      <c r="T77" s="26"/>
      <c r="U77" s="26"/>
      <c r="V77" s="26"/>
      <c r="W77" s="26"/>
      <c r="X77" s="209" t="s">
        <v>209</v>
      </c>
      <c r="Y77" s="26"/>
      <c r="Z77" s="26"/>
      <c r="AA77" s="26"/>
      <c r="AB77" s="26"/>
      <c r="AC77" s="26"/>
      <c r="AD77" s="28"/>
      <c r="AE77" s="31"/>
      <c r="AF77" s="78"/>
      <c r="AG77" s="80">
        <v>10000</v>
      </c>
      <c r="AH77" s="80">
        <v>11000</v>
      </c>
      <c r="AI77" s="78"/>
      <c r="AJ77" s="78"/>
    </row>
    <row r="78" spans="16:37" ht="17.25">
      <c r="P78" s="32" t="s">
        <v>94</v>
      </c>
      <c r="Q78" s="347"/>
      <c r="R78" s="346"/>
      <c r="S78" s="346"/>
      <c r="T78" s="26"/>
      <c r="U78" s="26"/>
      <c r="V78" s="26"/>
      <c r="W78" s="26"/>
      <c r="X78" s="26"/>
      <c r="Y78" s="26"/>
      <c r="Z78" s="26"/>
      <c r="AA78" s="26"/>
      <c r="AB78" s="26"/>
      <c r="AC78" s="26"/>
      <c r="AD78" s="28"/>
      <c r="AE78" s="31"/>
      <c r="AF78" s="78"/>
      <c r="AG78" s="80">
        <v>12000</v>
      </c>
      <c r="AH78" s="80">
        <v>14500</v>
      </c>
      <c r="AI78" s="78"/>
      <c r="AJ78" s="78"/>
    </row>
    <row r="79" spans="16:37">
      <c r="P79" s="579" t="s">
        <v>64</v>
      </c>
      <c r="Q79" s="614" t="s">
        <v>65</v>
      </c>
      <c r="R79" s="614" t="s">
        <v>6</v>
      </c>
      <c r="S79" s="632" t="s">
        <v>66</v>
      </c>
      <c r="T79" s="634" t="s">
        <v>95</v>
      </c>
      <c r="U79" s="634"/>
      <c r="V79" s="634"/>
      <c r="W79" s="33" t="s">
        <v>68</v>
      </c>
      <c r="X79" s="1"/>
      <c r="Y79" s="3"/>
      <c r="Z79" s="26"/>
      <c r="AA79" s="26"/>
      <c r="AB79" s="26"/>
      <c r="AC79" s="26"/>
      <c r="AD79" s="28"/>
      <c r="AE79" s="31"/>
      <c r="AF79" s="78"/>
      <c r="AG79" s="80">
        <v>17000</v>
      </c>
      <c r="AH79" s="78"/>
      <c r="AI79" s="78"/>
      <c r="AJ79" s="78"/>
    </row>
    <row r="80" spans="16:37" ht="15" customHeight="1" thickBot="1">
      <c r="P80" s="580"/>
      <c r="Q80" s="615"/>
      <c r="R80" s="616"/>
      <c r="S80" s="633"/>
      <c r="T80" s="634"/>
      <c r="U80" s="634"/>
      <c r="V80" s="634"/>
      <c r="W80" s="33" t="s">
        <v>72</v>
      </c>
      <c r="X80" s="159" t="s">
        <v>35</v>
      </c>
      <c r="Y80" s="3"/>
      <c r="Z80" s="26"/>
      <c r="AA80" s="26"/>
      <c r="AB80" s="78" t="s">
        <v>76</v>
      </c>
      <c r="AC80" s="150" t="s">
        <v>35</v>
      </c>
      <c r="AD80" s="28"/>
      <c r="AE80" s="31"/>
    </row>
    <row r="81" spans="16:36" ht="15" customHeight="1" thickBot="1">
      <c r="P81" s="587" t="s">
        <v>78</v>
      </c>
      <c r="Q81" s="305">
        <v>1</v>
      </c>
      <c r="R81" s="541"/>
      <c r="S81" s="542"/>
      <c r="T81" s="572"/>
      <c r="U81" s="573"/>
      <c r="V81" s="574"/>
      <c r="W81" s="543"/>
      <c r="X81" s="518"/>
      <c r="Y81" s="3"/>
      <c r="Z81" s="26"/>
      <c r="AA81" s="26"/>
      <c r="AB81" s="38" t="str">
        <f>IFERROR(VLOOKUP(T81,入出力データ!$B$10:$D$26,3),"")</f>
        <v/>
      </c>
      <c r="AC81" s="177" t="str">
        <f>IFERROR(W81*AB81,"")</f>
        <v/>
      </c>
      <c r="AD81" s="28"/>
      <c r="AE81" s="31"/>
      <c r="AF81" s="78"/>
      <c r="AG81" s="80"/>
      <c r="AH81" s="80"/>
      <c r="AI81" s="78"/>
      <c r="AJ81" s="78"/>
    </row>
    <row r="82" spans="16:36" ht="15" customHeight="1" thickBot="1">
      <c r="P82" s="588"/>
      <c r="Q82" s="490"/>
      <c r="R82" s="544"/>
      <c r="S82" s="545"/>
      <c r="T82" s="572"/>
      <c r="U82" s="573"/>
      <c r="V82" s="574"/>
      <c r="W82" s="546"/>
      <c r="X82" s="316"/>
      <c r="Y82" s="3"/>
      <c r="Z82" s="26"/>
      <c r="AA82" s="26"/>
      <c r="AB82" s="38" t="str">
        <f>IFERROR(VLOOKUP(T82,入出力データ!$B$10:$D$26,3),"")</f>
        <v/>
      </c>
      <c r="AC82" s="177" t="str">
        <f t="shared" ref="AC82:AC86" si="12">IFERROR(W82*AB82,"")</f>
        <v/>
      </c>
      <c r="AD82" s="28"/>
      <c r="AE82" s="31"/>
      <c r="AF82" s="78"/>
      <c r="AG82" s="80"/>
      <c r="AH82" s="80"/>
      <c r="AI82" s="78"/>
      <c r="AJ82" s="78"/>
    </row>
    <row r="83" spans="16:36" ht="15" customHeight="1" thickBot="1">
      <c r="P83" s="588"/>
      <c r="Q83" s="491"/>
      <c r="R83" s="544"/>
      <c r="S83" s="545"/>
      <c r="T83" s="572"/>
      <c r="U83" s="573"/>
      <c r="V83" s="574"/>
      <c r="W83" s="546"/>
      <c r="X83" s="316"/>
      <c r="Y83" s="3"/>
      <c r="Z83" s="26"/>
      <c r="AA83" s="26"/>
      <c r="AB83" s="38" t="str">
        <f>IFERROR(VLOOKUP(T83,入出力データ!$B$10:$D$26,3),"")</f>
        <v/>
      </c>
      <c r="AC83" s="177" t="str">
        <f t="shared" si="12"/>
        <v/>
      </c>
      <c r="AD83" s="28"/>
      <c r="AE83" s="31"/>
      <c r="AF83" s="78"/>
      <c r="AG83" s="80"/>
      <c r="AH83" s="80"/>
      <c r="AI83" s="78"/>
      <c r="AJ83" s="78"/>
    </row>
    <row r="84" spans="16:36" ht="15" customHeight="1" thickBot="1">
      <c r="P84" s="588"/>
      <c r="Q84" s="490"/>
      <c r="R84" s="544"/>
      <c r="S84" s="545"/>
      <c r="T84" s="572"/>
      <c r="U84" s="573"/>
      <c r="V84" s="574"/>
      <c r="W84" s="546"/>
      <c r="X84" s="316"/>
      <c r="Y84" s="3"/>
      <c r="Z84" s="26"/>
      <c r="AA84" s="26"/>
      <c r="AB84" s="38" t="str">
        <f>IFERROR(VLOOKUP(T84,入出力データ!$B$10:$D$26,3),"")</f>
        <v/>
      </c>
      <c r="AC84" s="177" t="str">
        <f t="shared" si="12"/>
        <v/>
      </c>
      <c r="AD84" s="28"/>
      <c r="AE84" s="31"/>
      <c r="AF84" s="78"/>
      <c r="AG84" s="80"/>
      <c r="AH84" s="80"/>
      <c r="AI84" s="78"/>
      <c r="AJ84" s="78"/>
    </row>
    <row r="85" spans="16:36" ht="15" customHeight="1" thickBot="1">
      <c r="P85" s="588"/>
      <c r="Q85" s="491"/>
      <c r="R85" s="544"/>
      <c r="S85" s="545"/>
      <c r="T85" s="572"/>
      <c r="U85" s="573"/>
      <c r="V85" s="574"/>
      <c r="W85" s="546"/>
      <c r="X85" s="316"/>
      <c r="Y85" s="3"/>
      <c r="Z85" s="26"/>
      <c r="AA85" s="26"/>
      <c r="AB85" s="38" t="str">
        <f>IFERROR(VLOOKUP(T85,入出力データ!$B$10:$D$26,3),"")</f>
        <v/>
      </c>
      <c r="AC85" s="177" t="str">
        <f t="shared" si="12"/>
        <v/>
      </c>
      <c r="AD85" s="28"/>
      <c r="AE85" s="31"/>
      <c r="AF85" s="78"/>
      <c r="AG85" s="80"/>
      <c r="AH85" s="80"/>
      <c r="AI85" s="78"/>
      <c r="AJ85" s="78"/>
    </row>
    <row r="86" spans="16:36" ht="15" customHeight="1" thickBot="1">
      <c r="P86" s="588"/>
      <c r="Q86" s="490"/>
      <c r="R86" s="544"/>
      <c r="S86" s="545"/>
      <c r="T86" s="572"/>
      <c r="U86" s="573"/>
      <c r="V86" s="574"/>
      <c r="W86" s="546"/>
      <c r="X86" s="316"/>
      <c r="Y86" s="3"/>
      <c r="Z86" s="26"/>
      <c r="AA86" s="26"/>
      <c r="AB86" s="38" t="str">
        <f>IFERROR(VLOOKUP(T86,入出力データ!$B$10:$D$26,3),"")</f>
        <v/>
      </c>
      <c r="AC86" s="177" t="str">
        <f t="shared" si="12"/>
        <v/>
      </c>
      <c r="AD86" s="28"/>
      <c r="AE86" s="31"/>
      <c r="AF86" s="78"/>
      <c r="AG86" s="80"/>
      <c r="AH86" s="80"/>
      <c r="AI86" s="78"/>
      <c r="AJ86" s="78"/>
    </row>
    <row r="87" spans="16:36" ht="15" customHeight="1" thickBot="1">
      <c r="P87" s="589"/>
      <c r="Q87" s="350"/>
      <c r="R87" s="351" t="s">
        <v>88</v>
      </c>
      <c r="S87" s="352"/>
      <c r="T87" s="617"/>
      <c r="U87" s="618"/>
      <c r="V87" s="619"/>
      <c r="W87" s="311" t="s">
        <v>38</v>
      </c>
      <c r="X87" s="519">
        <f>AC87</f>
        <v>0</v>
      </c>
      <c r="Y87" s="3"/>
      <c r="Z87" s="26"/>
      <c r="AA87" s="26"/>
      <c r="AB87" s="175"/>
      <c r="AC87" s="174">
        <f>SUM(AC81:AC86)</f>
        <v>0</v>
      </c>
      <c r="AD87" s="28"/>
      <c r="AE87" s="31"/>
      <c r="AF87" s="78"/>
      <c r="AG87" s="80"/>
      <c r="AH87" s="80"/>
      <c r="AI87" s="78"/>
      <c r="AJ87" s="78"/>
    </row>
    <row r="88" spans="16:36" ht="15" customHeight="1" thickTop="1" thickBot="1">
      <c r="P88" s="588" t="s">
        <v>89</v>
      </c>
      <c r="Q88" s="305">
        <v>1</v>
      </c>
      <c r="R88" s="541"/>
      <c r="S88" s="542"/>
      <c r="T88" s="572"/>
      <c r="U88" s="573"/>
      <c r="V88" s="574"/>
      <c r="W88" s="543"/>
      <c r="X88" s="520"/>
      <c r="Y88" s="3"/>
      <c r="Z88" s="26"/>
      <c r="AA88" s="26"/>
      <c r="AB88" s="38" t="str">
        <f>IFERROR(VLOOKUP(T88,入出力データ!$B$10:$D$26,3),"")</f>
        <v/>
      </c>
      <c r="AC88" s="177" t="str">
        <f>IFERROR(W88*AB88,"")</f>
        <v/>
      </c>
      <c r="AD88" s="28"/>
      <c r="AE88" s="31"/>
      <c r="AF88" s="78"/>
      <c r="AG88" s="80"/>
      <c r="AH88" s="80"/>
      <c r="AI88" s="78"/>
      <c r="AJ88" s="78"/>
    </row>
    <row r="89" spans="16:36" ht="15" customHeight="1" thickBot="1">
      <c r="P89" s="588"/>
      <c r="Q89" s="490"/>
      <c r="R89" s="547"/>
      <c r="S89" s="547"/>
      <c r="T89" s="572"/>
      <c r="U89" s="573"/>
      <c r="V89" s="574"/>
      <c r="W89" s="548"/>
      <c r="X89" s="520"/>
      <c r="Y89" s="3"/>
      <c r="Z89" s="26"/>
      <c r="AA89" s="26"/>
      <c r="AB89" s="38" t="str">
        <f>IFERROR(VLOOKUP(T89,入出力データ!$B$10:$D$26,3),"")</f>
        <v/>
      </c>
      <c r="AC89" s="177" t="str">
        <f t="shared" ref="AC89:AC93" si="13">IFERROR(W89*AB89,"")</f>
        <v/>
      </c>
      <c r="AD89" s="28"/>
      <c r="AE89" s="31"/>
      <c r="AF89" s="78"/>
      <c r="AG89" s="80"/>
      <c r="AH89" s="80"/>
      <c r="AI89" s="78"/>
      <c r="AJ89" s="78"/>
    </row>
    <row r="90" spans="16:36" ht="15" customHeight="1" thickBot="1">
      <c r="P90" s="588"/>
      <c r="Q90" s="490"/>
      <c r="R90" s="547"/>
      <c r="S90" s="547"/>
      <c r="T90" s="572"/>
      <c r="U90" s="573"/>
      <c r="V90" s="574"/>
      <c r="W90" s="548"/>
      <c r="X90" s="520"/>
      <c r="Y90" s="3"/>
      <c r="Z90" s="26"/>
      <c r="AA90" s="26"/>
      <c r="AB90" s="38" t="str">
        <f>IFERROR(VLOOKUP(T90,入出力データ!$B$10:$D$26,3),"")</f>
        <v/>
      </c>
      <c r="AC90" s="177" t="str">
        <f t="shared" si="13"/>
        <v/>
      </c>
      <c r="AD90" s="28"/>
      <c r="AE90" s="31"/>
      <c r="AF90" s="78"/>
      <c r="AG90" s="80"/>
      <c r="AH90" s="80"/>
      <c r="AI90" s="78"/>
      <c r="AJ90" s="78"/>
    </row>
    <row r="91" spans="16:36" ht="15" customHeight="1" thickBot="1">
      <c r="P91" s="588"/>
      <c r="Q91" s="490"/>
      <c r="R91" s="547"/>
      <c r="S91" s="547"/>
      <c r="T91" s="572"/>
      <c r="U91" s="573"/>
      <c r="V91" s="574"/>
      <c r="W91" s="548"/>
      <c r="X91" s="520"/>
      <c r="Y91" s="3"/>
      <c r="Z91" s="26"/>
      <c r="AA91" s="26"/>
      <c r="AB91" s="38" t="str">
        <f>IFERROR(VLOOKUP(T91,入出力データ!$B$10:$D$26,3),"")</f>
        <v/>
      </c>
      <c r="AC91" s="177" t="str">
        <f t="shared" si="13"/>
        <v/>
      </c>
      <c r="AD91" s="28"/>
      <c r="AE91" s="31"/>
      <c r="AF91" s="78"/>
      <c r="AG91" s="80"/>
      <c r="AH91" s="80"/>
      <c r="AI91" s="78"/>
      <c r="AJ91" s="78"/>
    </row>
    <row r="92" spans="16:36" ht="14.25" customHeight="1" thickBot="1">
      <c r="P92" s="588"/>
      <c r="Q92" s="490"/>
      <c r="R92" s="544"/>
      <c r="S92" s="545"/>
      <c r="T92" s="572"/>
      <c r="U92" s="573"/>
      <c r="V92" s="574"/>
      <c r="W92" s="546"/>
      <c r="X92" s="316"/>
      <c r="Y92" s="3"/>
      <c r="Z92" s="26"/>
      <c r="AA92" s="26"/>
      <c r="AB92" s="38" t="str">
        <f>IFERROR(VLOOKUP(T92,入出力データ!$B$10:$D$26,3),"")</f>
        <v/>
      </c>
      <c r="AC92" s="177" t="str">
        <f t="shared" si="13"/>
        <v/>
      </c>
      <c r="AD92" s="28"/>
      <c r="AE92" s="31"/>
      <c r="AF92" s="78"/>
      <c r="AG92" s="80"/>
      <c r="AH92" s="80"/>
      <c r="AI92" s="78"/>
      <c r="AJ92" s="78"/>
    </row>
    <row r="93" spans="16:36" ht="15" customHeight="1" thickBot="1">
      <c r="P93" s="588"/>
      <c r="Q93" s="490"/>
      <c r="R93" s="544"/>
      <c r="S93" s="545"/>
      <c r="T93" s="572"/>
      <c r="U93" s="573"/>
      <c r="V93" s="574"/>
      <c r="W93" s="546"/>
      <c r="X93" s="316"/>
      <c r="Y93" s="3"/>
      <c r="Z93" s="26"/>
      <c r="AA93" s="26"/>
      <c r="AB93" s="38" t="str">
        <f>IFERROR(VLOOKUP(T93,入出力データ!$B$10:$D$26,3),"")</f>
        <v/>
      </c>
      <c r="AC93" s="177" t="str">
        <f t="shared" si="13"/>
        <v/>
      </c>
      <c r="AD93" s="28"/>
      <c r="AE93" s="31"/>
      <c r="AF93" s="78"/>
      <c r="AH93" s="78"/>
      <c r="AI93" s="78"/>
      <c r="AJ93" s="78"/>
    </row>
    <row r="94" spans="16:36" ht="15" customHeight="1" thickBot="1">
      <c r="P94" s="590"/>
      <c r="Q94" s="349"/>
      <c r="R94" s="344" t="s">
        <v>88</v>
      </c>
      <c r="S94" s="348"/>
      <c r="T94" s="611"/>
      <c r="U94" s="611"/>
      <c r="V94" s="611"/>
      <c r="W94" s="314" t="s">
        <v>45</v>
      </c>
      <c r="X94" s="312">
        <f>AC94</f>
        <v>0</v>
      </c>
      <c r="Y94" s="3"/>
      <c r="Z94" s="26"/>
      <c r="AA94" s="26"/>
      <c r="AB94" s="38" t="str">
        <f>IFERROR(VLOOKUP(T94,入出力データ!$B$10:$D$26,3),"")</f>
        <v/>
      </c>
      <c r="AC94" s="38">
        <f>SUM(AC88:AC93)</f>
        <v>0</v>
      </c>
      <c r="AD94" s="28"/>
      <c r="AE94" s="31"/>
      <c r="AF94" s="78"/>
      <c r="AG94" s="78"/>
      <c r="AH94" s="78"/>
      <c r="AI94" s="78"/>
      <c r="AJ94" s="78"/>
    </row>
    <row r="95" spans="16:36">
      <c r="Q95" s="353"/>
      <c r="R95" s="354"/>
      <c r="S95" s="354"/>
      <c r="T95" s="318"/>
      <c r="U95" s="318"/>
      <c r="V95" s="318"/>
      <c r="W95" s="318"/>
      <c r="X95" s="318"/>
      <c r="Y95" s="26"/>
      <c r="Z95" s="26"/>
      <c r="AA95" s="26"/>
      <c r="AB95" s="26"/>
      <c r="AC95" s="26"/>
      <c r="AD95" s="28"/>
      <c r="AE95" s="31"/>
      <c r="AF95" s="78"/>
      <c r="AG95" s="78"/>
      <c r="AH95" s="78"/>
      <c r="AI95" s="78"/>
      <c r="AJ95" s="78"/>
    </row>
    <row r="96" spans="16:36" ht="17.25">
      <c r="P96" s="32" t="s">
        <v>342</v>
      </c>
      <c r="Q96" s="355"/>
      <c r="R96" s="354"/>
      <c r="S96" s="354"/>
      <c r="T96" s="318"/>
      <c r="U96" s="318"/>
      <c r="V96" s="318"/>
      <c r="W96" s="318"/>
      <c r="X96" s="318"/>
      <c r="Y96" s="26"/>
      <c r="Z96" s="26"/>
      <c r="AA96" s="26"/>
      <c r="AB96" s="26"/>
      <c r="AC96" s="26"/>
      <c r="AD96" s="28"/>
      <c r="AE96" s="31"/>
      <c r="AF96" s="78"/>
      <c r="AG96" s="78"/>
      <c r="AH96" s="78"/>
      <c r="AI96" s="78"/>
      <c r="AJ96" s="78"/>
    </row>
    <row r="97" spans="16:36">
      <c r="P97" s="579" t="s">
        <v>64</v>
      </c>
      <c r="Q97" s="581" t="s">
        <v>65</v>
      </c>
      <c r="R97" s="581" t="s">
        <v>6</v>
      </c>
      <c r="S97" s="581" t="s">
        <v>66</v>
      </c>
      <c r="T97" s="591" t="s">
        <v>95</v>
      </c>
      <c r="U97" s="612"/>
      <c r="V97" s="592"/>
      <c r="W97" s="297" t="s">
        <v>68</v>
      </c>
      <c r="X97" s="287"/>
      <c r="Y97" s="26"/>
      <c r="Z97" s="26"/>
      <c r="AA97" s="26"/>
      <c r="AB97" s="26"/>
      <c r="AC97" s="26"/>
      <c r="AD97" s="28"/>
      <c r="AE97" s="31"/>
      <c r="AF97" s="78"/>
      <c r="AG97" s="78"/>
      <c r="AH97" s="78"/>
      <c r="AI97" s="78"/>
      <c r="AJ97" s="78"/>
    </row>
    <row r="98" spans="16:36" ht="15" customHeight="1" thickBot="1">
      <c r="P98" s="580"/>
      <c r="Q98" s="582"/>
      <c r="R98" s="583"/>
      <c r="S98" s="584"/>
      <c r="T98" s="593"/>
      <c r="U98" s="613"/>
      <c r="V98" s="594"/>
      <c r="W98" s="297" t="s">
        <v>96</v>
      </c>
      <c r="X98" s="510" t="s">
        <v>35</v>
      </c>
      <c r="Y98" s="26"/>
      <c r="Z98" s="26"/>
      <c r="AA98" s="26"/>
      <c r="AB98" s="26"/>
      <c r="AC98" s="26"/>
      <c r="AD98" s="28"/>
      <c r="AE98" s="31"/>
      <c r="AF98" s="78"/>
      <c r="AG98" s="78"/>
      <c r="AH98" s="78"/>
      <c r="AI98" s="78"/>
      <c r="AJ98" s="78"/>
    </row>
    <row r="99" spans="16:36" ht="15" customHeight="1" thickBot="1">
      <c r="P99" s="587" t="s">
        <v>78</v>
      </c>
      <c r="Q99" s="487">
        <v>1</v>
      </c>
      <c r="R99" s="549"/>
      <c r="S99" s="542"/>
      <c r="T99" s="572"/>
      <c r="U99" s="573"/>
      <c r="V99" s="574"/>
      <c r="W99" s="550"/>
      <c r="X99" s="518"/>
      <c r="Y99" s="26"/>
      <c r="Z99" s="26"/>
      <c r="AA99" s="26"/>
      <c r="AB99" s="38" t="str">
        <f>IFERROR(VLOOKUP(T99,入出力データ!$B$10:$D$26,3),"")</f>
        <v/>
      </c>
      <c r="AC99" s="177" t="str">
        <f>IFERROR(W99*AB99,"")</f>
        <v/>
      </c>
      <c r="AD99" s="28"/>
      <c r="AE99" s="31"/>
      <c r="AF99" s="78"/>
      <c r="AG99" s="78"/>
      <c r="AH99" s="78"/>
      <c r="AI99" s="78"/>
      <c r="AJ99" s="78"/>
    </row>
    <row r="100" spans="16:36" ht="15" customHeight="1" thickBot="1">
      <c r="P100" s="588"/>
      <c r="Q100" s="487"/>
      <c r="R100" s="549"/>
      <c r="S100" s="551"/>
      <c r="T100" s="572"/>
      <c r="U100" s="573"/>
      <c r="V100" s="574"/>
      <c r="W100" s="550"/>
      <c r="X100" s="316"/>
      <c r="Y100" s="26"/>
      <c r="Z100" s="26"/>
      <c r="AA100" s="26"/>
      <c r="AB100" s="38" t="str">
        <f>IFERROR(VLOOKUP(T100,入出力データ!$B$10:$D$26,3),"")</f>
        <v/>
      </c>
      <c r="AC100" s="177" t="str">
        <f t="shared" ref="AC100:AC104" si="14">IFERROR(W100*AB100,"")</f>
        <v/>
      </c>
      <c r="AD100" s="28"/>
      <c r="AE100" s="31"/>
      <c r="AF100" s="78"/>
      <c r="AG100" s="78"/>
      <c r="AH100" s="78"/>
      <c r="AI100" s="78"/>
      <c r="AJ100" s="78"/>
    </row>
    <row r="101" spans="16:36" ht="15" customHeight="1" thickBot="1">
      <c r="P101" s="588"/>
      <c r="Q101" s="492"/>
      <c r="R101" s="552"/>
      <c r="S101" s="553"/>
      <c r="T101" s="572"/>
      <c r="U101" s="573"/>
      <c r="V101" s="574"/>
      <c r="W101" s="550"/>
      <c r="X101" s="316"/>
      <c r="Y101" s="26"/>
      <c r="Z101" s="26"/>
      <c r="AA101" s="26"/>
      <c r="AB101" s="38" t="str">
        <f>IFERROR(VLOOKUP(T101,入出力データ!$B$10:$D$26,3),"")</f>
        <v/>
      </c>
      <c r="AC101" s="177" t="str">
        <f t="shared" si="14"/>
        <v/>
      </c>
      <c r="AD101" s="28"/>
      <c r="AE101" s="31"/>
      <c r="AF101" s="78"/>
      <c r="AG101" s="78"/>
      <c r="AH101" s="78"/>
      <c r="AI101" s="78"/>
      <c r="AJ101" s="78"/>
    </row>
    <row r="102" spans="16:36" ht="15" customHeight="1" thickBot="1">
      <c r="P102" s="588"/>
      <c r="Q102" s="492"/>
      <c r="R102" s="552"/>
      <c r="S102" s="553"/>
      <c r="T102" s="572"/>
      <c r="U102" s="573"/>
      <c r="V102" s="574"/>
      <c r="W102" s="550"/>
      <c r="X102" s="316"/>
      <c r="Y102" s="26"/>
      <c r="Z102" s="26"/>
      <c r="AA102" s="26"/>
      <c r="AB102" s="38" t="str">
        <f>IFERROR(VLOOKUP(T102,入出力データ!$B$10:$D$26,3),"")</f>
        <v/>
      </c>
      <c r="AC102" s="177" t="str">
        <f t="shared" si="14"/>
        <v/>
      </c>
      <c r="AD102" s="28"/>
      <c r="AE102" s="31"/>
      <c r="AF102" s="78"/>
      <c r="AG102" s="78"/>
      <c r="AH102" s="78"/>
      <c r="AI102" s="78"/>
      <c r="AJ102" s="78"/>
    </row>
    <row r="103" spans="16:36" ht="15" customHeight="1" thickBot="1">
      <c r="P103" s="588"/>
      <c r="Q103" s="492"/>
      <c r="R103" s="552"/>
      <c r="S103" s="553"/>
      <c r="T103" s="572"/>
      <c r="U103" s="573"/>
      <c r="V103" s="574"/>
      <c r="W103" s="550"/>
      <c r="X103" s="316"/>
      <c r="Y103" s="26"/>
      <c r="Z103" s="26"/>
      <c r="AA103" s="26"/>
      <c r="AB103" s="38" t="str">
        <f>IFERROR(VLOOKUP(T103,入出力データ!$B$10:$D$26,3),"")</f>
        <v/>
      </c>
      <c r="AC103" s="177" t="str">
        <f t="shared" si="14"/>
        <v/>
      </c>
      <c r="AE103" s="31"/>
      <c r="AF103" s="78"/>
      <c r="AG103" s="78"/>
      <c r="AH103" s="78"/>
      <c r="AI103" s="78"/>
      <c r="AJ103" s="78"/>
    </row>
    <row r="104" spans="16:36" ht="15" customHeight="1" thickBot="1">
      <c r="P104" s="588"/>
      <c r="Q104" s="492"/>
      <c r="R104" s="552"/>
      <c r="S104" s="553"/>
      <c r="T104" s="572"/>
      <c r="U104" s="573"/>
      <c r="V104" s="574"/>
      <c r="W104" s="550"/>
      <c r="X104" s="316"/>
      <c r="Y104" s="26"/>
      <c r="Z104" s="26"/>
      <c r="AA104" s="26"/>
      <c r="AB104" s="38" t="str">
        <f>IFERROR(VLOOKUP(T104,入出力データ!$B$10:$D$26,3),"")</f>
        <v/>
      </c>
      <c r="AC104" s="177" t="str">
        <f t="shared" si="14"/>
        <v/>
      </c>
      <c r="AE104" s="31"/>
      <c r="AF104" s="78"/>
      <c r="AG104" s="78"/>
      <c r="AH104" s="78"/>
      <c r="AI104" s="78"/>
      <c r="AJ104" s="78"/>
    </row>
    <row r="105" spans="16:36" ht="15" customHeight="1" thickBot="1">
      <c r="P105" s="589"/>
      <c r="Q105" s="359"/>
      <c r="R105" s="351" t="s">
        <v>88</v>
      </c>
      <c r="S105" s="360"/>
      <c r="T105" s="617"/>
      <c r="U105" s="618"/>
      <c r="V105" s="619"/>
      <c r="W105" s="319" t="s">
        <v>38</v>
      </c>
      <c r="X105" s="312">
        <f>ROUND(AC105,0)</f>
        <v>0</v>
      </c>
      <c r="Y105" s="26"/>
      <c r="Z105" s="26"/>
      <c r="AA105" s="26"/>
      <c r="AB105" s="174"/>
      <c r="AC105" s="176">
        <f>SUM(AC99:AC104)</f>
        <v>0</v>
      </c>
      <c r="AE105" s="31"/>
      <c r="AF105" s="78"/>
      <c r="AG105" s="78"/>
      <c r="AH105" s="78"/>
      <c r="AI105" s="78"/>
      <c r="AJ105" s="78"/>
    </row>
    <row r="106" spans="16:36" ht="15" customHeight="1" thickTop="1" thickBot="1">
      <c r="P106" s="588" t="s">
        <v>89</v>
      </c>
      <c r="Q106" s="489">
        <v>1</v>
      </c>
      <c r="R106" s="549"/>
      <c r="S106" s="551"/>
      <c r="T106" s="572"/>
      <c r="U106" s="573"/>
      <c r="V106" s="574"/>
      <c r="W106" s="550"/>
      <c r="X106" s="521"/>
      <c r="Y106" s="26"/>
      <c r="Z106" s="26"/>
      <c r="AA106" s="26"/>
      <c r="AB106" s="162" t="str">
        <f>IFERROR(VLOOKUP(T106,入出力データ!$B$10:$D$26,3),"")</f>
        <v/>
      </c>
      <c r="AC106" s="177" t="str">
        <f>IFERROR(W106*AB106,"")</f>
        <v/>
      </c>
      <c r="AD106" s="28"/>
      <c r="AE106" s="31"/>
      <c r="AF106" s="31"/>
      <c r="AG106" s="26"/>
      <c r="AH106" s="26"/>
    </row>
    <row r="107" spans="16:36" ht="15" customHeight="1" thickBot="1">
      <c r="P107" s="588"/>
      <c r="Q107" s="487"/>
      <c r="R107" s="549"/>
      <c r="S107" s="551"/>
      <c r="T107" s="572"/>
      <c r="U107" s="573"/>
      <c r="V107" s="574"/>
      <c r="W107" s="550"/>
      <c r="X107" s="518"/>
      <c r="Y107" s="26"/>
      <c r="Z107" s="26"/>
      <c r="AA107" s="26"/>
      <c r="AB107" s="38" t="str">
        <f>IFERROR(VLOOKUP(T107,入出力データ!$B$10:$D$26,3),"")</f>
        <v/>
      </c>
      <c r="AC107" s="177" t="str">
        <f t="shared" ref="AC107:AC111" si="15">IFERROR(W107*AB107,"")</f>
        <v/>
      </c>
      <c r="AD107" s="28"/>
      <c r="AE107" s="31"/>
      <c r="AF107" s="31"/>
      <c r="AG107" s="26"/>
      <c r="AH107" s="26"/>
    </row>
    <row r="108" spans="16:36" ht="15" customHeight="1" thickBot="1">
      <c r="P108" s="588"/>
      <c r="Q108" s="492"/>
      <c r="R108" s="552"/>
      <c r="S108" s="553"/>
      <c r="T108" s="572"/>
      <c r="U108" s="573"/>
      <c r="V108" s="574"/>
      <c r="W108" s="550"/>
      <c r="X108" s="316"/>
      <c r="Y108" s="26"/>
      <c r="Z108" s="26"/>
      <c r="AA108" s="26"/>
      <c r="AB108" s="38" t="str">
        <f>IFERROR(VLOOKUP(T108,入出力データ!$B$10:$D$26,3),"")</f>
        <v/>
      </c>
      <c r="AC108" s="177" t="str">
        <f t="shared" si="15"/>
        <v/>
      </c>
      <c r="AD108" s="28"/>
      <c r="AE108" s="31"/>
      <c r="AF108" s="31"/>
      <c r="AG108" s="26"/>
      <c r="AH108" s="26"/>
    </row>
    <row r="109" spans="16:36" ht="15" customHeight="1" thickBot="1">
      <c r="P109" s="588"/>
      <c r="Q109" s="492"/>
      <c r="R109" s="552"/>
      <c r="S109" s="553"/>
      <c r="T109" s="572"/>
      <c r="U109" s="573"/>
      <c r="V109" s="574"/>
      <c r="W109" s="550"/>
      <c r="X109" s="316"/>
      <c r="Y109" s="26"/>
      <c r="Z109" s="26"/>
      <c r="AA109" s="26"/>
      <c r="AB109" s="38" t="str">
        <f>IFERROR(VLOOKUP(T109,入出力データ!$B$10:$D$26,3),"")</f>
        <v/>
      </c>
      <c r="AC109" s="177" t="str">
        <f t="shared" si="15"/>
        <v/>
      </c>
      <c r="AD109" s="28"/>
      <c r="AE109" s="31"/>
      <c r="AF109" s="31"/>
      <c r="AG109" s="26"/>
      <c r="AH109" s="26"/>
    </row>
    <row r="110" spans="16:36" ht="15" customHeight="1" thickBot="1">
      <c r="P110" s="588"/>
      <c r="Q110" s="492"/>
      <c r="R110" s="552"/>
      <c r="S110" s="553"/>
      <c r="T110" s="572"/>
      <c r="U110" s="573"/>
      <c r="V110" s="574"/>
      <c r="W110" s="550"/>
      <c r="X110" s="316"/>
      <c r="Y110" s="26"/>
      <c r="Z110" s="26"/>
      <c r="AA110" s="26"/>
      <c r="AB110" s="38" t="str">
        <f>IFERROR(VLOOKUP(T110,入出力データ!$B$10:$D$26,3),"")</f>
        <v/>
      </c>
      <c r="AC110" s="177" t="str">
        <f t="shared" si="15"/>
        <v/>
      </c>
      <c r="AE110" s="31"/>
      <c r="AF110" s="31"/>
      <c r="AG110" s="26"/>
      <c r="AH110" s="26"/>
    </row>
    <row r="111" spans="16:36" ht="15" customHeight="1" thickBot="1">
      <c r="P111" s="588"/>
      <c r="Q111" s="492"/>
      <c r="R111" s="552"/>
      <c r="S111" s="553"/>
      <c r="T111" s="572"/>
      <c r="U111" s="573"/>
      <c r="V111" s="574"/>
      <c r="W111" s="550"/>
      <c r="X111" s="316"/>
      <c r="Y111" s="26"/>
      <c r="Z111" s="26"/>
      <c r="AA111" s="26"/>
      <c r="AB111" s="38" t="str">
        <f>IFERROR(VLOOKUP(T111,入出力データ!$B$10:$D$26,3),"")</f>
        <v/>
      </c>
      <c r="AC111" s="177" t="str">
        <f t="shared" si="15"/>
        <v/>
      </c>
      <c r="AE111" s="31"/>
      <c r="AF111" s="31"/>
      <c r="AG111" s="26"/>
      <c r="AH111" s="26"/>
    </row>
    <row r="112" spans="16:36" ht="15" customHeight="1" thickBot="1">
      <c r="P112" s="590"/>
      <c r="Q112" s="357"/>
      <c r="R112" s="344" t="s">
        <v>88</v>
      </c>
      <c r="S112" s="358"/>
      <c r="T112" s="623"/>
      <c r="U112" s="624"/>
      <c r="V112" s="625"/>
      <c r="W112" s="314" t="s">
        <v>45</v>
      </c>
      <c r="X112" s="312">
        <f>ROUND(AC112,0)</f>
        <v>0</v>
      </c>
      <c r="Y112" s="26"/>
      <c r="Z112" s="26"/>
      <c r="AA112" s="26"/>
      <c r="AB112" s="38" t="str">
        <f>IFERROR(VLOOKUP(T112,入出力データ!$B$10:$D$26,3),"")</f>
        <v/>
      </c>
      <c r="AC112" s="39">
        <f>SUM(AC106:AC111)</f>
        <v>0</v>
      </c>
      <c r="AE112" s="31"/>
      <c r="AF112" s="31"/>
      <c r="AG112" s="26"/>
      <c r="AH112" s="26"/>
    </row>
    <row r="113" spans="16:34">
      <c r="P113" s="3"/>
      <c r="Q113" s="353"/>
      <c r="R113" s="354"/>
      <c r="S113" s="354"/>
      <c r="T113" s="318"/>
      <c r="U113" s="318"/>
      <c r="V113" s="318"/>
      <c r="W113" s="318"/>
      <c r="X113" s="318"/>
      <c r="Y113" s="26"/>
      <c r="Z113" s="26"/>
      <c r="AA113" s="26"/>
      <c r="AB113" s="26"/>
      <c r="AC113" s="26"/>
      <c r="AD113" s="28"/>
      <c r="AE113" s="31"/>
      <c r="AF113" s="31"/>
      <c r="AG113" s="26"/>
      <c r="AH113" s="26"/>
    </row>
    <row r="114" spans="16:34" ht="17.25">
      <c r="P114" s="32" t="s">
        <v>98</v>
      </c>
      <c r="Q114" s="355"/>
      <c r="R114" s="354"/>
      <c r="S114" s="354"/>
      <c r="T114" s="318"/>
      <c r="U114" s="318"/>
      <c r="V114" s="318"/>
      <c r="W114" s="318"/>
      <c r="X114" s="318"/>
      <c r="Y114" s="26"/>
      <c r="Z114" s="26"/>
      <c r="AA114" s="26"/>
      <c r="AB114" s="26"/>
      <c r="AC114" s="26"/>
      <c r="AD114" s="28"/>
      <c r="AE114" s="31"/>
      <c r="AF114" s="31"/>
      <c r="AG114" s="26"/>
      <c r="AH114" s="26"/>
    </row>
    <row r="115" spans="16:34">
      <c r="P115" s="579" t="s">
        <v>64</v>
      </c>
      <c r="Q115" s="581" t="s">
        <v>65</v>
      </c>
      <c r="R115" s="581" t="s">
        <v>6</v>
      </c>
      <c r="S115" s="361" t="s">
        <v>66</v>
      </c>
      <c r="T115" s="591" t="s">
        <v>95</v>
      </c>
      <c r="U115" s="612"/>
      <c r="V115" s="592"/>
      <c r="W115" s="297" t="s">
        <v>68</v>
      </c>
      <c r="X115" s="299"/>
      <c r="Y115" s="26"/>
      <c r="Z115" s="26"/>
      <c r="AA115" s="26"/>
      <c r="AB115" s="26"/>
      <c r="AC115" s="26"/>
      <c r="AD115" s="28"/>
      <c r="AE115" s="31"/>
      <c r="AF115" s="31"/>
      <c r="AG115" s="26"/>
      <c r="AH115" s="26"/>
    </row>
    <row r="116" spans="16:34" ht="15" customHeight="1" thickBot="1">
      <c r="P116" s="580"/>
      <c r="Q116" s="582"/>
      <c r="R116" s="583"/>
      <c r="S116" s="356"/>
      <c r="T116" s="593"/>
      <c r="U116" s="613"/>
      <c r="V116" s="594"/>
      <c r="W116" s="297" t="s">
        <v>99</v>
      </c>
      <c r="X116" s="297" t="s">
        <v>35</v>
      </c>
      <c r="Y116" s="26"/>
      <c r="Z116" s="26"/>
      <c r="AA116" s="26"/>
      <c r="AB116" s="26"/>
      <c r="AC116" s="26"/>
      <c r="AD116" s="28"/>
      <c r="AE116" s="31"/>
      <c r="AF116" s="31"/>
      <c r="AG116" s="26"/>
      <c r="AH116" s="26"/>
    </row>
    <row r="117" spans="16:34" ht="15" customHeight="1" thickBot="1">
      <c r="P117" s="587" t="s">
        <v>78</v>
      </c>
      <c r="Q117" s="487"/>
      <c r="R117" s="487"/>
      <c r="S117" s="554"/>
      <c r="T117" s="572"/>
      <c r="U117" s="573"/>
      <c r="V117" s="574"/>
      <c r="W117" s="543"/>
      <c r="X117" s="496"/>
      <c r="Y117" s="26"/>
      <c r="Z117" s="26"/>
      <c r="AA117" s="26"/>
      <c r="AB117" s="38" t="str">
        <f>IFERROR(VLOOKUP(T117,入出力データ!$B$10:$D$26,3),"")</f>
        <v/>
      </c>
      <c r="AC117" s="177" t="str">
        <f>IFERROR(W117*AB117/1000,"")</f>
        <v/>
      </c>
      <c r="AD117" s="28"/>
      <c r="AE117" s="31"/>
      <c r="AF117" s="31"/>
      <c r="AG117" s="26"/>
      <c r="AH117" s="26"/>
    </row>
    <row r="118" spans="16:34" ht="15" customHeight="1" thickBot="1">
      <c r="P118" s="588"/>
      <c r="Q118" s="487"/>
      <c r="R118" s="487"/>
      <c r="S118" s="554"/>
      <c r="T118" s="572"/>
      <c r="U118" s="573"/>
      <c r="V118" s="574"/>
      <c r="W118" s="543"/>
      <c r="X118" s="498"/>
      <c r="Y118" s="26"/>
      <c r="Z118" s="26"/>
      <c r="AA118" s="26"/>
      <c r="AB118" s="38" t="str">
        <f>IFERROR(VLOOKUP(T118,入出力データ!$B$10:$D$26,3),"")</f>
        <v/>
      </c>
      <c r="AC118" s="177" t="str">
        <f t="shared" ref="AC118:AC122" si="16">IFERROR(W118*AB118/1000,"")</f>
        <v/>
      </c>
      <c r="AD118" s="28"/>
      <c r="AE118" s="31"/>
      <c r="AF118" s="31"/>
      <c r="AG118" s="26"/>
      <c r="AH118" s="26"/>
    </row>
    <row r="119" spans="16:34" ht="15" customHeight="1" thickBot="1">
      <c r="P119" s="588"/>
      <c r="Q119" s="492"/>
      <c r="R119" s="492"/>
      <c r="S119" s="555"/>
      <c r="T119" s="572"/>
      <c r="U119" s="573"/>
      <c r="V119" s="574"/>
      <c r="W119" s="546"/>
      <c r="X119" s="496"/>
      <c r="Y119" s="26"/>
      <c r="Z119" s="26"/>
      <c r="AA119" s="26"/>
      <c r="AB119" s="38" t="str">
        <f>IFERROR(VLOOKUP(T119,入出力データ!$B$10:$D$26,3),"")</f>
        <v/>
      </c>
      <c r="AC119" s="177" t="str">
        <f t="shared" si="16"/>
        <v/>
      </c>
      <c r="AD119" s="28"/>
      <c r="AE119" s="31"/>
      <c r="AF119" s="31"/>
      <c r="AG119" s="26"/>
      <c r="AH119" s="26"/>
    </row>
    <row r="120" spans="16:34" ht="15" customHeight="1" thickBot="1">
      <c r="P120" s="588"/>
      <c r="Q120" s="492"/>
      <c r="R120" s="555"/>
      <c r="S120" s="555"/>
      <c r="T120" s="572"/>
      <c r="U120" s="573"/>
      <c r="V120" s="574"/>
      <c r="W120" s="550"/>
      <c r="X120" s="499"/>
      <c r="Y120" s="26"/>
      <c r="Z120" s="26"/>
      <c r="AA120" s="26"/>
      <c r="AB120" s="38" t="str">
        <f>IFERROR(VLOOKUP(T120,入出力データ!$B$10:$D$26,3),"")</f>
        <v/>
      </c>
      <c r="AC120" s="177" t="str">
        <f t="shared" si="16"/>
        <v/>
      </c>
      <c r="AD120" s="28"/>
      <c r="AE120" s="31"/>
      <c r="AF120" s="31"/>
      <c r="AG120" s="26"/>
      <c r="AH120" s="26"/>
    </row>
    <row r="121" spans="16:34" ht="15" customHeight="1" thickBot="1">
      <c r="P121" s="588"/>
      <c r="Q121" s="492"/>
      <c r="R121" s="492"/>
      <c r="S121" s="556"/>
      <c r="T121" s="572"/>
      <c r="U121" s="573"/>
      <c r="V121" s="574"/>
      <c r="W121" s="550"/>
      <c r="X121" s="497"/>
      <c r="Y121" s="26"/>
      <c r="Z121" s="26"/>
      <c r="AA121" s="26"/>
      <c r="AB121" s="38" t="str">
        <f>IFERROR(VLOOKUP(T121,入出力データ!$B$10:$D$26,3),"")</f>
        <v/>
      </c>
      <c r="AC121" s="177" t="str">
        <f t="shared" si="16"/>
        <v/>
      </c>
      <c r="AD121" s="28"/>
      <c r="AE121" s="31"/>
      <c r="AF121" s="31"/>
      <c r="AG121" s="26"/>
      <c r="AH121" s="26"/>
    </row>
    <row r="122" spans="16:34" ht="15" customHeight="1" thickBot="1">
      <c r="P122" s="588"/>
      <c r="Q122" s="492"/>
      <c r="R122" s="357" t="s">
        <v>100</v>
      </c>
      <c r="S122" s="356" t="s">
        <v>101</v>
      </c>
      <c r="T122" s="572"/>
      <c r="U122" s="573"/>
      <c r="V122" s="574"/>
      <c r="W122" s="557"/>
      <c r="X122" s="316">
        <f>電力計算部!G43</f>
        <v>0</v>
      </c>
      <c r="Y122" s="26"/>
      <c r="Z122" s="26"/>
      <c r="AA122" s="26"/>
      <c r="AB122" s="38" t="str">
        <f>IFERROR(VLOOKUP(T122,入出力データ!$B$10:$D$26,3),"")</f>
        <v/>
      </c>
      <c r="AC122" s="177" t="str">
        <f t="shared" si="16"/>
        <v/>
      </c>
      <c r="AD122" s="28"/>
      <c r="AE122" s="31"/>
      <c r="AF122" s="31"/>
      <c r="AG122" s="26"/>
      <c r="AH122" s="26"/>
    </row>
    <row r="123" spans="16:34" ht="15" customHeight="1" thickBot="1">
      <c r="P123" s="589"/>
      <c r="Q123" s="569"/>
      <c r="R123" s="569"/>
      <c r="S123" s="570"/>
      <c r="T123" s="620"/>
      <c r="U123" s="621"/>
      <c r="V123" s="622"/>
      <c r="W123" s="319" t="s">
        <v>38</v>
      </c>
      <c r="X123" s="312">
        <f>ROUND(SUM(X117:X122,AC123),0)</f>
        <v>0</v>
      </c>
      <c r="Y123" s="26"/>
      <c r="Z123" s="26"/>
      <c r="AA123" s="26"/>
      <c r="AB123" s="174"/>
      <c r="AC123" s="176">
        <f>SUM(AC117:AC122)</f>
        <v>0</v>
      </c>
      <c r="AD123" s="28"/>
      <c r="AE123" s="31"/>
      <c r="AF123" s="31"/>
      <c r="AG123" s="26"/>
      <c r="AH123" s="26"/>
    </row>
    <row r="124" spans="16:34" ht="15" customHeight="1" thickTop="1" thickBot="1">
      <c r="P124" s="588" t="s">
        <v>89</v>
      </c>
      <c r="Q124" s="487"/>
      <c r="R124" s="487"/>
      <c r="S124" s="554"/>
      <c r="T124" s="572"/>
      <c r="U124" s="573"/>
      <c r="V124" s="574"/>
      <c r="W124" s="558"/>
      <c r="X124" s="495"/>
      <c r="Y124" s="26"/>
      <c r="Z124" s="26"/>
      <c r="AA124" s="26"/>
      <c r="AB124" s="162" t="str">
        <f>IFERROR(VLOOKUP(T124,入出力データ!$B$10:$D$26,3),"")</f>
        <v/>
      </c>
      <c r="AC124" s="177" t="str">
        <f>IFERROR(W124*AB124/1000,"")</f>
        <v/>
      </c>
      <c r="AD124" s="28"/>
      <c r="AE124" s="31"/>
      <c r="AF124" s="31"/>
      <c r="AG124" s="26"/>
      <c r="AH124" s="26"/>
    </row>
    <row r="125" spans="16:34" ht="15" customHeight="1" thickBot="1">
      <c r="P125" s="588"/>
      <c r="Q125" s="487"/>
      <c r="R125" s="487"/>
      <c r="S125" s="554"/>
      <c r="T125" s="572"/>
      <c r="U125" s="573"/>
      <c r="V125" s="574"/>
      <c r="W125" s="550"/>
      <c r="X125" s="500"/>
      <c r="Y125" s="26"/>
      <c r="Z125" s="26"/>
      <c r="AA125" s="26"/>
      <c r="AB125" s="38" t="str">
        <f>IFERROR(VLOOKUP(T125,入出力データ!$B$10:$D$26,3),"")</f>
        <v/>
      </c>
      <c r="AC125" s="177" t="str">
        <f t="shared" ref="AC125:AC129" si="17">IFERROR(W125*AB125/1000,"")</f>
        <v/>
      </c>
      <c r="AD125" s="28"/>
      <c r="AE125" s="31"/>
      <c r="AF125" s="31"/>
      <c r="AG125" s="26"/>
      <c r="AH125" s="26"/>
    </row>
    <row r="126" spans="16:34" ht="15" customHeight="1" thickBot="1">
      <c r="P126" s="588"/>
      <c r="Q126" s="492"/>
      <c r="R126" s="492"/>
      <c r="S126" s="555"/>
      <c r="T126" s="572"/>
      <c r="U126" s="573"/>
      <c r="V126" s="574"/>
      <c r="W126" s="546"/>
      <c r="X126" s="496"/>
      <c r="Y126" s="26"/>
      <c r="Z126" s="26"/>
      <c r="AA126" s="26"/>
      <c r="AB126" s="38" t="str">
        <f>IFERROR(VLOOKUP(T126,入出力データ!$B$10:$D$26,3),"")</f>
        <v/>
      </c>
      <c r="AC126" s="177" t="str">
        <f t="shared" si="17"/>
        <v/>
      </c>
      <c r="AD126" s="28"/>
      <c r="AE126" s="31"/>
      <c r="AF126" s="31"/>
      <c r="AG126" s="26"/>
      <c r="AH126" s="26"/>
    </row>
    <row r="127" spans="16:34" ht="15" customHeight="1" thickBot="1">
      <c r="P127" s="588"/>
      <c r="Q127" s="492"/>
      <c r="R127" s="492"/>
      <c r="S127" s="556"/>
      <c r="T127" s="572"/>
      <c r="U127" s="573"/>
      <c r="V127" s="574"/>
      <c r="W127" s="550"/>
      <c r="X127" s="499"/>
      <c r="Y127" s="26"/>
      <c r="Z127" s="26"/>
      <c r="AA127" s="26"/>
      <c r="AB127" s="38" t="str">
        <f>IFERROR(VLOOKUP(T127,入出力データ!$B$10:$D$26,3),"")</f>
        <v/>
      </c>
      <c r="AC127" s="177" t="str">
        <f t="shared" si="17"/>
        <v/>
      </c>
      <c r="AD127" s="28"/>
      <c r="AE127" s="31"/>
      <c r="AF127" s="31"/>
      <c r="AG127" s="26"/>
      <c r="AH127" s="26"/>
    </row>
    <row r="128" spans="16:34" ht="15" customHeight="1" thickBot="1">
      <c r="P128" s="588"/>
      <c r="Q128" s="492"/>
      <c r="R128" s="492"/>
      <c r="S128" s="556"/>
      <c r="T128" s="572"/>
      <c r="U128" s="573"/>
      <c r="V128" s="574"/>
      <c r="W128" s="550"/>
      <c r="X128" s="497"/>
      <c r="Y128" s="26"/>
      <c r="Z128" s="26"/>
      <c r="AA128" s="26"/>
      <c r="AB128" s="38" t="str">
        <f>IFERROR(VLOOKUP(T128,入出力データ!$B$10:$D$26,3),"")</f>
        <v/>
      </c>
      <c r="AC128" s="177" t="str">
        <f t="shared" si="17"/>
        <v/>
      </c>
      <c r="AD128" s="28"/>
      <c r="AE128" s="31"/>
      <c r="AF128" s="31"/>
      <c r="AG128" s="26"/>
      <c r="AH128" s="26"/>
    </row>
    <row r="129" spans="16:42" ht="15" customHeight="1" thickBot="1">
      <c r="P129" s="588"/>
      <c r="Q129" s="492"/>
      <c r="R129" s="357" t="s">
        <v>100</v>
      </c>
      <c r="S129" s="356" t="s">
        <v>101</v>
      </c>
      <c r="T129" s="572"/>
      <c r="U129" s="573"/>
      <c r="V129" s="574"/>
      <c r="W129" s="557"/>
      <c r="X129" s="316">
        <f>電力計算部!G52</f>
        <v>0</v>
      </c>
      <c r="Y129" s="26"/>
      <c r="Z129" s="26"/>
      <c r="AA129" s="26"/>
      <c r="AB129" s="38" t="str">
        <f>IFERROR(VLOOKUP(T129,入出力データ!$B$10:$D$26,3),"")</f>
        <v/>
      </c>
      <c r="AC129" s="177" t="str">
        <f t="shared" si="17"/>
        <v/>
      </c>
      <c r="AD129" s="28"/>
      <c r="AE129" s="31"/>
      <c r="AF129" s="31"/>
      <c r="AG129" s="26"/>
      <c r="AH129" s="26"/>
    </row>
    <row r="130" spans="16:42" ht="15" customHeight="1" thickBot="1">
      <c r="P130" s="590"/>
      <c r="Q130" s="492"/>
      <c r="R130" s="492"/>
      <c r="S130" s="556"/>
      <c r="T130" s="572"/>
      <c r="U130" s="573"/>
      <c r="V130" s="574"/>
      <c r="W130" s="314" t="s">
        <v>45</v>
      </c>
      <c r="X130" s="312">
        <f>ROUND(SUM(X124:X129,AC130),0)</f>
        <v>0</v>
      </c>
      <c r="Y130" s="26"/>
      <c r="Z130" s="26"/>
      <c r="AA130" s="26"/>
      <c r="AB130" s="38" t="str">
        <f>IFERROR(VLOOKUP(T130,入出力データ!$B$10:$D$26,3),"")</f>
        <v/>
      </c>
      <c r="AC130" s="176">
        <f>SUM(AC124:AC129)</f>
        <v>0</v>
      </c>
      <c r="AD130" s="28"/>
      <c r="AE130" s="31"/>
      <c r="AF130" s="31"/>
      <c r="AG130" s="26"/>
      <c r="AH130" s="26"/>
    </row>
    <row r="131" spans="16:42" ht="15" customHeight="1">
      <c r="P131" s="158"/>
      <c r="Q131" s="353"/>
      <c r="R131" s="353"/>
      <c r="S131" s="354"/>
      <c r="T131" s="318"/>
      <c r="U131" s="318"/>
      <c r="V131" s="318"/>
      <c r="W131" s="321"/>
      <c r="X131" s="322"/>
      <c r="Y131" s="26"/>
      <c r="Z131" s="26"/>
      <c r="AA131" s="26"/>
      <c r="AB131" s="26"/>
      <c r="AD131" s="28"/>
      <c r="AE131" s="31"/>
      <c r="AF131" s="31"/>
      <c r="AG131" s="26"/>
      <c r="AH131" s="26"/>
    </row>
    <row r="132" spans="16:42" ht="21.75" customHeight="1">
      <c r="P132" s="3"/>
      <c r="Q132" s="353"/>
      <c r="R132" s="354"/>
      <c r="S132" s="354"/>
      <c r="T132" s="318"/>
      <c r="U132" s="318"/>
      <c r="V132" s="318"/>
      <c r="W132" s="318"/>
      <c r="X132" s="318"/>
      <c r="Y132" s="26"/>
      <c r="Z132" s="26"/>
      <c r="AA132" s="26"/>
      <c r="AB132" s="26"/>
      <c r="AC132" s="26"/>
      <c r="AD132" s="28"/>
      <c r="AE132" s="31"/>
      <c r="AF132" s="31"/>
      <c r="AG132" s="26"/>
      <c r="AH132" s="26"/>
    </row>
    <row r="133" spans="16:42" ht="17.25">
      <c r="P133" s="35" t="s">
        <v>313</v>
      </c>
      <c r="Q133" s="353"/>
      <c r="R133" s="354"/>
      <c r="S133" s="354"/>
      <c r="T133" s="318"/>
      <c r="U133" s="318"/>
      <c r="V133" s="318"/>
      <c r="W133" s="318"/>
      <c r="X133" s="323" t="s">
        <v>210</v>
      </c>
      <c r="Y133" s="26"/>
      <c r="Z133" s="26"/>
      <c r="AA133" s="26"/>
      <c r="AB133" s="26"/>
      <c r="AC133" s="26"/>
      <c r="AD133" s="28"/>
      <c r="AE133" s="31"/>
      <c r="AF133" s="26"/>
      <c r="AG133" s="26"/>
      <c r="AH133" s="26"/>
      <c r="AI133" s="26"/>
      <c r="AJ133" s="26"/>
      <c r="AK133" s="26"/>
      <c r="AL133" s="26"/>
      <c r="AM133" s="26"/>
      <c r="AN133" s="26"/>
      <c r="AO133" s="26"/>
      <c r="AP133" s="26"/>
    </row>
    <row r="134" spans="16:42" ht="10.5" customHeight="1">
      <c r="P134" s="579" t="s">
        <v>64</v>
      </c>
      <c r="Q134" s="581" t="s">
        <v>65</v>
      </c>
      <c r="R134" s="581" t="s">
        <v>6</v>
      </c>
      <c r="S134" s="581" t="s">
        <v>66</v>
      </c>
      <c r="T134" s="585" t="s">
        <v>67</v>
      </c>
      <c r="U134" s="595"/>
      <c r="V134" s="585" t="s">
        <v>68</v>
      </c>
      <c r="W134" s="586"/>
      <c r="X134" s="299"/>
      <c r="Y134" s="3"/>
      <c r="Z134" s="26"/>
      <c r="AA134" s="26"/>
      <c r="AB134" s="26"/>
      <c r="AC134" s="26"/>
      <c r="AD134" s="28"/>
      <c r="AE134" s="31"/>
      <c r="AF134" s="26"/>
      <c r="AG134" s="26"/>
      <c r="AH134" s="26"/>
      <c r="AI134" s="26"/>
      <c r="AJ134" s="26"/>
      <c r="AK134" s="26"/>
      <c r="AL134" s="26"/>
      <c r="AM134" s="26"/>
      <c r="AN134" s="26"/>
      <c r="AO134" s="26"/>
      <c r="AP134" s="26"/>
    </row>
    <row r="135" spans="16:42" ht="15" customHeight="1" thickBot="1">
      <c r="P135" s="580"/>
      <c r="Q135" s="582"/>
      <c r="R135" s="583"/>
      <c r="S135" s="584"/>
      <c r="T135" s="315" t="s">
        <v>70</v>
      </c>
      <c r="U135" s="315" t="s">
        <v>71</v>
      </c>
      <c r="V135" s="297" t="s">
        <v>72</v>
      </c>
      <c r="W135" s="297" t="s">
        <v>73</v>
      </c>
      <c r="X135" s="297" t="s">
        <v>35</v>
      </c>
      <c r="Y135" s="30"/>
      <c r="Z135" s="112" t="s">
        <v>74</v>
      </c>
      <c r="AA135" s="94" t="s">
        <v>75</v>
      </c>
      <c r="AB135" s="78" t="s">
        <v>76</v>
      </c>
      <c r="AC135" s="150" t="s">
        <v>35</v>
      </c>
      <c r="AF135" s="26"/>
      <c r="AG135" s="26"/>
      <c r="AH135" s="26"/>
      <c r="AI135" s="26"/>
      <c r="AJ135" s="26"/>
      <c r="AK135" s="26"/>
      <c r="AL135" s="26"/>
      <c r="AM135" s="26"/>
      <c r="AN135" s="26"/>
      <c r="AO135" s="26"/>
      <c r="AP135" s="26"/>
    </row>
    <row r="136" spans="16:42" ht="15" customHeight="1" thickBot="1">
      <c r="P136" s="587" t="s">
        <v>78</v>
      </c>
      <c r="Q136" s="492"/>
      <c r="R136" s="559"/>
      <c r="S136" s="560"/>
      <c r="T136" s="561"/>
      <c r="U136" s="562"/>
      <c r="V136" s="563"/>
      <c r="W136" s="563"/>
      <c r="X136" s="316" t="str">
        <f>AC136</f>
        <v/>
      </c>
      <c r="Y136" s="26"/>
      <c r="Z136" s="151">
        <f t="shared" ref="Z136:Z141" si="18">IFERROR(VLOOKUP(T136*1000,$AG$71:$AH$79,2),"")</f>
        <v>500</v>
      </c>
      <c r="AA136" s="152" t="str">
        <f>IFERROR(ROUND(EXP(2.71-0.812*LN(U136)-0.654*LN(Z136)),4),"")</f>
        <v/>
      </c>
      <c r="AB136" s="153" t="str">
        <f>IFERROR(ROUND($AJ$68*AA136,4),"")</f>
        <v/>
      </c>
      <c r="AC136" s="154" t="str">
        <f>IFERROR(ROUND(V136*W136*AB136/1000,1),"")</f>
        <v/>
      </c>
      <c r="AF136" s="26"/>
      <c r="AG136" s="26"/>
      <c r="AH136" s="26"/>
      <c r="AI136" s="26"/>
      <c r="AJ136" s="26"/>
      <c r="AK136" s="26"/>
      <c r="AL136" s="26"/>
      <c r="AM136" s="26"/>
      <c r="AN136" s="26"/>
      <c r="AO136" s="26"/>
      <c r="AP136" s="26"/>
    </row>
    <row r="137" spans="16:42" ht="15" customHeight="1" thickBot="1">
      <c r="P137" s="588"/>
      <c r="Q137" s="492"/>
      <c r="R137" s="559"/>
      <c r="S137" s="560"/>
      <c r="T137" s="561"/>
      <c r="U137" s="562"/>
      <c r="V137" s="563"/>
      <c r="W137" s="563"/>
      <c r="X137" s="316" t="str">
        <f t="shared" ref="X137:X141" si="19">AC137</f>
        <v/>
      </c>
      <c r="Y137" s="26"/>
      <c r="Z137" s="151">
        <f t="shared" si="18"/>
        <v>500</v>
      </c>
      <c r="AA137" s="152" t="str">
        <f t="shared" ref="AA137:AA141" si="20">IFERROR(ROUND(EXP(2.71-0.812*LN(U137)-0.654*LN(Z137)),4),"")</f>
        <v/>
      </c>
      <c r="AB137" s="153" t="str">
        <f t="shared" ref="AB137:AB148" si="21">IFERROR(ROUND($AJ$68*AA137,4),"")</f>
        <v/>
      </c>
      <c r="AC137" s="154" t="str">
        <f t="shared" ref="AC137:AC141" si="22">IFERROR(ROUND(V137*W137*AB137/1000,1),"")</f>
        <v/>
      </c>
      <c r="AF137" s="26"/>
      <c r="AG137" s="26"/>
      <c r="AH137" s="26"/>
      <c r="AI137" s="26"/>
      <c r="AJ137" s="26"/>
      <c r="AK137" s="26"/>
      <c r="AL137" s="26"/>
      <c r="AM137" s="26"/>
      <c r="AN137" s="26"/>
      <c r="AO137" s="26"/>
      <c r="AP137" s="26"/>
    </row>
    <row r="138" spans="16:42" ht="15" customHeight="1" thickBot="1">
      <c r="P138" s="588"/>
      <c r="Q138" s="492"/>
      <c r="R138" s="564"/>
      <c r="S138" s="560"/>
      <c r="T138" s="561"/>
      <c r="U138" s="562"/>
      <c r="V138" s="563"/>
      <c r="W138" s="563"/>
      <c r="X138" s="316" t="str">
        <f t="shared" si="19"/>
        <v/>
      </c>
      <c r="Y138" s="26"/>
      <c r="Z138" s="151">
        <f t="shared" si="18"/>
        <v>500</v>
      </c>
      <c r="AA138" s="152" t="str">
        <f t="shared" si="20"/>
        <v/>
      </c>
      <c r="AB138" s="153" t="str">
        <f t="shared" si="21"/>
        <v/>
      </c>
      <c r="AC138" s="154" t="str">
        <f t="shared" si="22"/>
        <v/>
      </c>
      <c r="AF138" s="26"/>
      <c r="AG138" s="26"/>
      <c r="AH138" s="26"/>
      <c r="AI138" s="26"/>
      <c r="AJ138" s="26"/>
      <c r="AK138" s="26"/>
      <c r="AL138" s="26"/>
      <c r="AM138" s="26"/>
      <c r="AN138" s="26"/>
      <c r="AO138" s="26"/>
      <c r="AP138" s="26"/>
    </row>
    <row r="139" spans="16:42" ht="15" customHeight="1" thickBot="1">
      <c r="P139" s="588"/>
      <c r="Q139" s="492"/>
      <c r="R139" s="564"/>
      <c r="S139" s="560"/>
      <c r="T139" s="561"/>
      <c r="U139" s="562"/>
      <c r="V139" s="563"/>
      <c r="W139" s="563"/>
      <c r="X139" s="316" t="str">
        <f t="shared" si="19"/>
        <v/>
      </c>
      <c r="Y139" s="26"/>
      <c r="Z139" s="151">
        <f t="shared" si="18"/>
        <v>500</v>
      </c>
      <c r="AA139" s="152" t="str">
        <f t="shared" si="20"/>
        <v/>
      </c>
      <c r="AB139" s="153" t="str">
        <f t="shared" si="21"/>
        <v/>
      </c>
      <c r="AC139" s="154" t="str">
        <f t="shared" si="22"/>
        <v/>
      </c>
      <c r="AF139" s="26"/>
      <c r="AG139" s="26"/>
      <c r="AH139" s="26"/>
      <c r="AI139" s="26"/>
      <c r="AJ139" s="26"/>
      <c r="AK139" s="26"/>
      <c r="AL139" s="26"/>
      <c r="AM139" s="26"/>
      <c r="AN139" s="26"/>
      <c r="AO139" s="26"/>
      <c r="AP139" s="26"/>
    </row>
    <row r="140" spans="16:42" ht="15" customHeight="1" thickBot="1">
      <c r="P140" s="588"/>
      <c r="Q140" s="492"/>
      <c r="R140" s="565"/>
      <c r="S140" s="560"/>
      <c r="T140" s="561"/>
      <c r="U140" s="562"/>
      <c r="V140" s="563"/>
      <c r="W140" s="563"/>
      <c r="X140" s="316" t="str">
        <f t="shared" si="19"/>
        <v/>
      </c>
      <c r="Y140" s="26"/>
      <c r="Z140" s="151">
        <f t="shared" si="18"/>
        <v>500</v>
      </c>
      <c r="AA140" s="152" t="str">
        <f t="shared" si="20"/>
        <v/>
      </c>
      <c r="AB140" s="153" t="str">
        <f t="shared" si="21"/>
        <v/>
      </c>
      <c r="AC140" s="154" t="str">
        <f t="shared" si="22"/>
        <v/>
      </c>
      <c r="AF140" s="26"/>
      <c r="AG140" s="26"/>
      <c r="AH140" s="26"/>
      <c r="AI140" s="26"/>
      <c r="AJ140" s="26"/>
      <c r="AK140" s="26"/>
      <c r="AL140" s="26"/>
      <c r="AM140" s="26"/>
      <c r="AN140" s="26"/>
      <c r="AO140" s="26"/>
      <c r="AP140" s="26"/>
    </row>
    <row r="141" spans="16:42" ht="15" customHeight="1" thickBot="1">
      <c r="P141" s="588"/>
      <c r="Q141" s="492"/>
      <c r="R141" s="559"/>
      <c r="S141" s="560"/>
      <c r="T141" s="561"/>
      <c r="U141" s="562"/>
      <c r="V141" s="563"/>
      <c r="W141" s="563"/>
      <c r="X141" s="320" t="str">
        <f t="shared" si="19"/>
        <v/>
      </c>
      <c r="Y141" s="26"/>
      <c r="Z141" s="151">
        <f t="shared" si="18"/>
        <v>500</v>
      </c>
      <c r="AA141" s="152" t="str">
        <f t="shared" si="20"/>
        <v/>
      </c>
      <c r="AB141" s="153" t="str">
        <f t="shared" si="21"/>
        <v/>
      </c>
      <c r="AC141" s="154" t="str">
        <f t="shared" si="22"/>
        <v/>
      </c>
      <c r="AF141" s="26"/>
      <c r="AG141" s="26"/>
      <c r="AH141" s="26"/>
      <c r="AI141" s="26"/>
      <c r="AJ141" s="26"/>
      <c r="AK141" s="26"/>
      <c r="AL141" s="26"/>
      <c r="AM141" s="26"/>
      <c r="AN141" s="26"/>
      <c r="AO141" s="26"/>
      <c r="AP141" s="26"/>
    </row>
    <row r="142" spans="16:42" ht="15" customHeight="1" thickBot="1">
      <c r="P142" s="589"/>
      <c r="Q142" s="359"/>
      <c r="R142" s="351" t="s">
        <v>88</v>
      </c>
      <c r="S142" s="343"/>
      <c r="T142" s="309"/>
      <c r="U142" s="309"/>
      <c r="V142" s="310"/>
      <c r="W142" s="311" t="s">
        <v>38</v>
      </c>
      <c r="X142" s="312">
        <f>ROUND(SUM(X136:X141),0)</f>
        <v>0</v>
      </c>
      <c r="Y142" s="26"/>
      <c r="Z142" s="170"/>
      <c r="AA142" s="171"/>
      <c r="AB142" s="172"/>
      <c r="AC142" s="173">
        <f>SUM(AC136:AC141)</f>
        <v>0</v>
      </c>
      <c r="AD142" s="157"/>
      <c r="AF142" s="26"/>
      <c r="AG142" s="26"/>
      <c r="AH142" s="26"/>
      <c r="AI142" s="26"/>
      <c r="AJ142" s="26"/>
      <c r="AK142" s="26"/>
      <c r="AL142" s="26"/>
      <c r="AM142" s="26"/>
      <c r="AN142" s="26"/>
      <c r="AO142" s="26"/>
      <c r="AP142" s="26"/>
    </row>
    <row r="143" spans="16:42" ht="15" customHeight="1" thickTop="1" thickBot="1">
      <c r="P143" s="588" t="s">
        <v>89</v>
      </c>
      <c r="Q143" s="489">
        <v>1</v>
      </c>
      <c r="R143" s="566"/>
      <c r="S143" s="523"/>
      <c r="T143" s="524"/>
      <c r="U143" s="534"/>
      <c r="V143" s="535"/>
      <c r="W143" s="526"/>
      <c r="X143" s="313" t="str">
        <f t="shared" ref="X143:X148" si="23">AC143</f>
        <v/>
      </c>
      <c r="Y143" s="26"/>
      <c r="Z143" s="166">
        <f t="shared" ref="Z143:Z148" si="24">IFERROR(VLOOKUP(T143*1000,$AG$71:$AH$79,2),"")</f>
        <v>500</v>
      </c>
      <c r="AA143" s="167" t="str">
        <f>IFERROR(ROUND(EXP(2.71-0.812*LN(U143)-0.654*LN(Z143)),4),"")</f>
        <v/>
      </c>
      <c r="AB143" s="168" t="str">
        <f>IFERROR(ROUND($AJ$68*AA143,4),"")</f>
        <v/>
      </c>
      <c r="AC143" s="169" t="str">
        <f>IFERROR(ROUND(V143*W143*AB143/1000,1),"")</f>
        <v/>
      </c>
      <c r="AF143" s="26"/>
      <c r="AG143" s="26"/>
      <c r="AH143" s="26"/>
      <c r="AI143" s="26"/>
      <c r="AJ143" s="26"/>
      <c r="AK143" s="26"/>
      <c r="AL143" s="26"/>
      <c r="AM143" s="26"/>
      <c r="AN143" s="26"/>
      <c r="AO143" s="26"/>
      <c r="AP143" s="26"/>
    </row>
    <row r="144" spans="16:42" ht="15" customHeight="1" thickBot="1">
      <c r="P144" s="588"/>
      <c r="Q144" s="487">
        <v>2</v>
      </c>
      <c r="R144" s="566"/>
      <c r="S144" s="523"/>
      <c r="T144" s="524"/>
      <c r="U144" s="525"/>
      <c r="V144" s="526"/>
      <c r="W144" s="526"/>
      <c r="X144" s="316" t="str">
        <f t="shared" si="23"/>
        <v/>
      </c>
      <c r="Y144" s="26"/>
      <c r="Z144" s="151">
        <f t="shared" si="24"/>
        <v>500</v>
      </c>
      <c r="AA144" s="152" t="str">
        <f t="shared" ref="AA144:AA148" si="25">IFERROR(ROUND(EXP(2.71-0.812*LN(U144)-0.654*LN(Z144)),4),"")</f>
        <v/>
      </c>
      <c r="AB144" s="153" t="str">
        <f t="shared" si="21"/>
        <v/>
      </c>
      <c r="AC144" s="154" t="str">
        <f t="shared" ref="AC144:AC148" si="26">IFERROR(ROUND(V144*W144*AB144/1000,1),"")</f>
        <v/>
      </c>
      <c r="AF144" s="26"/>
      <c r="AG144" s="26"/>
      <c r="AH144" s="26"/>
      <c r="AI144" s="26"/>
      <c r="AJ144" s="26"/>
      <c r="AK144" s="26"/>
      <c r="AL144" s="26"/>
      <c r="AM144" s="26"/>
      <c r="AN144" s="26"/>
      <c r="AO144" s="26"/>
      <c r="AP144" s="26"/>
    </row>
    <row r="145" spans="16:42" ht="15" customHeight="1" thickBot="1">
      <c r="P145" s="588"/>
      <c r="Q145" s="487">
        <v>3</v>
      </c>
      <c r="R145" s="567"/>
      <c r="S145" s="523"/>
      <c r="T145" s="524"/>
      <c r="U145" s="525"/>
      <c r="V145" s="526"/>
      <c r="W145" s="526"/>
      <c r="X145" s="316" t="str">
        <f t="shared" si="23"/>
        <v/>
      </c>
      <c r="Y145" s="26"/>
      <c r="Z145" s="151">
        <f t="shared" si="24"/>
        <v>500</v>
      </c>
      <c r="AA145" s="152" t="str">
        <f t="shared" si="25"/>
        <v/>
      </c>
      <c r="AB145" s="153" t="str">
        <f t="shared" si="21"/>
        <v/>
      </c>
      <c r="AC145" s="154" t="str">
        <f t="shared" si="26"/>
        <v/>
      </c>
      <c r="AF145" s="26"/>
      <c r="AG145" s="26"/>
      <c r="AH145" s="26"/>
      <c r="AI145" s="26"/>
      <c r="AJ145" s="26"/>
      <c r="AK145" s="26"/>
      <c r="AL145" s="26"/>
      <c r="AM145" s="26"/>
      <c r="AN145" s="26"/>
      <c r="AO145" s="26"/>
      <c r="AP145" s="26"/>
    </row>
    <row r="146" spans="16:42" ht="15" customHeight="1" thickBot="1">
      <c r="P146" s="588"/>
      <c r="Q146" s="487"/>
      <c r="R146" s="568"/>
      <c r="S146" s="523"/>
      <c r="T146" s="524"/>
      <c r="U146" s="525"/>
      <c r="V146" s="526"/>
      <c r="W146" s="526"/>
      <c r="X146" s="316" t="str">
        <f t="shared" si="23"/>
        <v/>
      </c>
      <c r="Y146" s="26"/>
      <c r="Z146" s="151">
        <f t="shared" si="24"/>
        <v>500</v>
      </c>
      <c r="AA146" s="152" t="str">
        <f t="shared" si="25"/>
        <v/>
      </c>
      <c r="AB146" s="153" t="str">
        <f t="shared" si="21"/>
        <v/>
      </c>
      <c r="AC146" s="154" t="str">
        <f t="shared" si="26"/>
        <v/>
      </c>
      <c r="AF146" s="26"/>
      <c r="AG146" s="26"/>
      <c r="AH146" s="26"/>
      <c r="AI146" s="26"/>
      <c r="AJ146" s="26"/>
      <c r="AK146" s="26"/>
      <c r="AL146" s="26"/>
      <c r="AM146" s="26"/>
      <c r="AN146" s="26"/>
      <c r="AO146" s="26"/>
      <c r="AP146" s="26"/>
    </row>
    <row r="147" spans="16:42" ht="15" customHeight="1" thickBot="1">
      <c r="P147" s="588"/>
      <c r="Q147" s="492"/>
      <c r="R147" s="565"/>
      <c r="S147" s="560"/>
      <c r="T147" s="561"/>
      <c r="U147" s="562"/>
      <c r="V147" s="563"/>
      <c r="W147" s="563"/>
      <c r="X147" s="316" t="str">
        <f t="shared" si="23"/>
        <v/>
      </c>
      <c r="Y147" s="26"/>
      <c r="Z147" s="151">
        <f t="shared" si="24"/>
        <v>500</v>
      </c>
      <c r="AA147" s="152" t="str">
        <f t="shared" si="25"/>
        <v/>
      </c>
      <c r="AB147" s="153" t="str">
        <f t="shared" si="21"/>
        <v/>
      </c>
      <c r="AC147" s="154" t="str">
        <f t="shared" si="26"/>
        <v/>
      </c>
      <c r="AF147" s="78"/>
      <c r="AG147" s="80"/>
      <c r="AH147" s="80"/>
      <c r="AI147" s="78"/>
      <c r="AJ147" s="78"/>
    </row>
    <row r="148" spans="16:42" ht="15" customHeight="1" thickBot="1">
      <c r="P148" s="588"/>
      <c r="Q148" s="493"/>
      <c r="R148" s="536"/>
      <c r="S148" s="537"/>
      <c r="T148" s="538"/>
      <c r="U148" s="539"/>
      <c r="V148" s="540"/>
      <c r="W148" s="540"/>
      <c r="X148" s="320" t="str">
        <f t="shared" si="23"/>
        <v/>
      </c>
      <c r="Y148" s="26"/>
      <c r="Z148" s="151">
        <f t="shared" si="24"/>
        <v>500</v>
      </c>
      <c r="AA148" s="152" t="str">
        <f t="shared" si="25"/>
        <v/>
      </c>
      <c r="AB148" s="153" t="str">
        <f t="shared" si="21"/>
        <v/>
      </c>
      <c r="AC148" s="154" t="str">
        <f t="shared" si="26"/>
        <v/>
      </c>
      <c r="AF148" s="78"/>
      <c r="AG148" s="80"/>
      <c r="AH148" s="80"/>
      <c r="AI148" s="78"/>
      <c r="AJ148" s="78"/>
    </row>
    <row r="149" spans="16:42" ht="15" customHeight="1" thickBot="1">
      <c r="P149" s="590"/>
      <c r="Q149" s="357"/>
      <c r="R149" s="344" t="s">
        <v>88</v>
      </c>
      <c r="S149" s="362"/>
      <c r="T149" s="324"/>
      <c r="U149" s="324"/>
      <c r="V149" s="324"/>
      <c r="W149" s="314" t="s">
        <v>45</v>
      </c>
      <c r="X149" s="312">
        <f>ROUND(SUM(X143:X148),0)</f>
        <v>0</v>
      </c>
      <c r="Y149" s="26"/>
      <c r="Z149" s="163"/>
      <c r="AA149" s="164"/>
      <c r="AB149" s="165"/>
      <c r="AC149" s="155">
        <f>SUM(AC143:AC148)</f>
        <v>0</v>
      </c>
      <c r="AF149" s="78"/>
      <c r="AG149" s="80"/>
      <c r="AH149" s="80"/>
      <c r="AI149" s="78"/>
      <c r="AJ149" s="78"/>
    </row>
    <row r="150" spans="16:42" ht="19.5" customHeight="1">
      <c r="P150" s="3"/>
      <c r="Q150" s="317"/>
      <c r="R150" s="318"/>
      <c r="S150" s="318"/>
      <c r="T150" s="318"/>
      <c r="U150" s="318"/>
      <c r="V150" s="318"/>
      <c r="W150" s="318"/>
      <c r="X150" s="323" t="s">
        <v>209</v>
      </c>
      <c r="Y150" s="26"/>
      <c r="Z150" s="26"/>
      <c r="AA150" s="26"/>
      <c r="AB150" s="26"/>
      <c r="AC150" s="26"/>
      <c r="AD150" s="28"/>
      <c r="AE150" s="31"/>
      <c r="AF150" s="31"/>
      <c r="AG150" s="26"/>
      <c r="AH150" s="26"/>
    </row>
    <row r="151" spans="16:42" ht="19.5" customHeight="1">
      <c r="P151" s="3"/>
      <c r="Q151" s="317"/>
      <c r="R151" s="318"/>
      <c r="S151" s="318"/>
      <c r="T151" s="318"/>
      <c r="U151" s="318"/>
      <c r="V151" s="318"/>
      <c r="W151" s="318"/>
      <c r="X151" s="323"/>
      <c r="Y151" s="26"/>
      <c r="Z151" s="26"/>
      <c r="AA151" s="26"/>
      <c r="AB151" s="26"/>
      <c r="AC151" s="26"/>
      <c r="AD151" s="28"/>
      <c r="AE151" s="31"/>
      <c r="AF151" s="31"/>
      <c r="AG151" s="26"/>
      <c r="AH151" s="26"/>
    </row>
    <row r="152" spans="16:42" ht="17.25">
      <c r="P152" s="35" t="s">
        <v>312</v>
      </c>
      <c r="Q152" s="353"/>
      <c r="R152" s="354"/>
      <c r="S152" s="354"/>
      <c r="T152" s="318"/>
      <c r="U152" s="318"/>
      <c r="V152" s="318"/>
      <c r="W152" s="318"/>
      <c r="X152" s="323"/>
      <c r="Y152" s="26"/>
      <c r="Z152" s="26"/>
      <c r="AA152" s="26"/>
      <c r="AB152" s="26"/>
      <c r="AC152" s="26"/>
      <c r="AD152" s="28"/>
      <c r="AE152" s="31"/>
      <c r="AF152" s="26"/>
      <c r="AG152" s="26"/>
      <c r="AH152" s="26"/>
      <c r="AI152" s="26"/>
      <c r="AJ152" s="26"/>
      <c r="AK152" s="26"/>
      <c r="AL152" s="26"/>
      <c r="AM152" s="26"/>
      <c r="AN152" s="26"/>
      <c r="AO152" s="26"/>
      <c r="AP152" s="26"/>
    </row>
    <row r="153" spans="16:42" ht="10.5" customHeight="1">
      <c r="P153" s="579" t="s">
        <v>64</v>
      </c>
      <c r="Q153" s="581" t="s">
        <v>65</v>
      </c>
      <c r="R153" s="581" t="s">
        <v>6</v>
      </c>
      <c r="S153" s="581" t="s">
        <v>66</v>
      </c>
      <c r="T153" s="591" t="s">
        <v>302</v>
      </c>
      <c r="U153" s="592"/>
      <c r="V153" s="585" t="s">
        <v>68</v>
      </c>
      <c r="W153" s="586"/>
      <c r="X153" s="299"/>
      <c r="Y153" s="3"/>
      <c r="Z153" s="26"/>
      <c r="AA153" s="26"/>
      <c r="AB153" s="26"/>
      <c r="AC153" s="26"/>
      <c r="AD153" s="28"/>
      <c r="AE153" s="31"/>
      <c r="AF153" s="26"/>
      <c r="AG153" s="26"/>
      <c r="AH153" s="26"/>
      <c r="AI153" s="26"/>
      <c r="AJ153" s="26"/>
      <c r="AK153" s="26"/>
      <c r="AL153" s="26"/>
      <c r="AM153" s="26"/>
      <c r="AN153" s="26"/>
      <c r="AO153" s="26"/>
      <c r="AP153" s="26"/>
    </row>
    <row r="154" spans="16:42" ht="15" customHeight="1" thickBot="1">
      <c r="P154" s="580"/>
      <c r="Q154" s="582"/>
      <c r="R154" s="583"/>
      <c r="S154" s="584"/>
      <c r="T154" s="593"/>
      <c r="U154" s="594"/>
      <c r="V154" s="297" t="s">
        <v>72</v>
      </c>
      <c r="W154" s="297" t="s">
        <v>73</v>
      </c>
      <c r="X154" s="297" t="s">
        <v>35</v>
      </c>
      <c r="Y154" s="30"/>
      <c r="Z154" s="112"/>
      <c r="AA154" s="94"/>
      <c r="AB154" s="78" t="s">
        <v>76</v>
      </c>
      <c r="AC154" s="150" t="s">
        <v>35</v>
      </c>
      <c r="AF154" s="26"/>
      <c r="AG154" s="26"/>
      <c r="AH154" s="26"/>
      <c r="AI154" s="26"/>
      <c r="AJ154" s="26"/>
      <c r="AK154" s="26"/>
      <c r="AL154" s="26"/>
      <c r="AM154" s="26"/>
      <c r="AN154" s="26"/>
      <c r="AO154" s="26"/>
      <c r="AP154" s="26"/>
    </row>
    <row r="155" spans="16:42" ht="29.25" customHeight="1" thickBot="1">
      <c r="P155" s="587" t="s">
        <v>78</v>
      </c>
      <c r="Q155" s="492"/>
      <c r="R155" s="559"/>
      <c r="S155" s="560"/>
      <c r="T155" s="575"/>
      <c r="U155" s="576"/>
      <c r="V155" s="563"/>
      <c r="W155" s="563"/>
      <c r="X155" s="316" t="str">
        <f>AC155</f>
        <v/>
      </c>
      <c r="Y155" s="26"/>
      <c r="Z155" s="388"/>
      <c r="AA155" s="387"/>
      <c r="AB155" s="153" t="str">
        <f>IFERROR(VLOOKUP(T155,入出力データ!B$41:$D$44,3),"")</f>
        <v/>
      </c>
      <c r="AC155" s="393" t="str">
        <f>IFERROR(ROUND(V155*W155*AB155/1000,0),"")</f>
        <v/>
      </c>
      <c r="AF155" s="26"/>
      <c r="AG155" s="26"/>
      <c r="AH155" s="26"/>
      <c r="AI155" s="26"/>
      <c r="AJ155" s="26"/>
      <c r="AK155" s="26"/>
      <c r="AL155" s="26"/>
      <c r="AM155" s="26"/>
      <c r="AN155" s="26"/>
      <c r="AO155" s="26"/>
      <c r="AP155" s="26"/>
    </row>
    <row r="156" spans="16:42" ht="29.25" customHeight="1" thickBot="1">
      <c r="P156" s="588"/>
      <c r="Q156" s="492"/>
      <c r="R156" s="559"/>
      <c r="S156" s="560"/>
      <c r="T156" s="575"/>
      <c r="U156" s="576"/>
      <c r="V156" s="563"/>
      <c r="W156" s="563"/>
      <c r="X156" s="320" t="str">
        <f t="shared" ref="X156" si="27">AC156</f>
        <v/>
      </c>
      <c r="Y156" s="26"/>
      <c r="Z156" s="388"/>
      <c r="AA156" s="387"/>
      <c r="AB156" s="153" t="str">
        <f>IFERROR(VLOOKUP(T156,入出力データ!B$41:$D$44,3),"")</f>
        <v/>
      </c>
      <c r="AC156" s="393" t="str">
        <f>IFERROR(ROUND(V156*W156*AB156/1000,0),"")</f>
        <v/>
      </c>
      <c r="AF156" s="26"/>
      <c r="AG156" s="26"/>
      <c r="AH156" s="26"/>
      <c r="AI156" s="26"/>
      <c r="AJ156" s="26"/>
      <c r="AK156" s="26"/>
      <c r="AL156" s="26"/>
      <c r="AM156" s="26"/>
      <c r="AN156" s="26"/>
      <c r="AO156" s="26"/>
      <c r="AP156" s="26"/>
    </row>
    <row r="157" spans="16:42" ht="29.25" customHeight="1" thickBot="1">
      <c r="P157" s="589"/>
      <c r="Q157" s="359"/>
      <c r="R157" s="351" t="s">
        <v>88</v>
      </c>
      <c r="S157" s="343"/>
      <c r="T157" s="577"/>
      <c r="U157" s="578"/>
      <c r="V157" s="310"/>
      <c r="W157" s="311" t="s">
        <v>38</v>
      </c>
      <c r="X157" s="312">
        <f>ROUND(SUM(X155:X156),0)</f>
        <v>0</v>
      </c>
      <c r="Y157" s="26"/>
      <c r="Z157" s="388"/>
      <c r="AA157" s="387"/>
      <c r="AB157" s="389"/>
      <c r="AC157" s="173"/>
      <c r="AD157" s="157"/>
      <c r="AF157" s="26"/>
      <c r="AG157" s="26"/>
      <c r="AH157" s="26"/>
      <c r="AI157" s="26"/>
      <c r="AJ157" s="26"/>
      <c r="AK157" s="26"/>
      <c r="AL157" s="26"/>
      <c r="AM157" s="26"/>
      <c r="AN157" s="26"/>
      <c r="AO157" s="26"/>
      <c r="AP157" s="26"/>
    </row>
    <row r="158" spans="16:42" ht="29.25" customHeight="1" thickTop="1" thickBot="1">
      <c r="P158" s="588" t="s">
        <v>89</v>
      </c>
      <c r="Q158" s="494"/>
      <c r="R158" s="559"/>
      <c r="S158" s="560"/>
      <c r="T158" s="575"/>
      <c r="U158" s="576"/>
      <c r="V158" s="563"/>
      <c r="W158" s="563"/>
      <c r="X158" s="313" t="str">
        <f t="shared" ref="X158:X159" si="28">AC158</f>
        <v/>
      </c>
      <c r="Y158" s="26"/>
      <c r="Z158" s="388"/>
      <c r="AA158" s="387"/>
      <c r="AB158" s="153" t="str">
        <f>IFERROR(VLOOKUP(T158,入出力データ!B$41:$D$44,3),"")</f>
        <v/>
      </c>
      <c r="AC158" s="393" t="str">
        <f>IFERROR(ROUND(V158*W158*AB158/1000,0),"")</f>
        <v/>
      </c>
      <c r="AF158" s="26"/>
      <c r="AG158" s="26"/>
      <c r="AH158" s="26"/>
      <c r="AI158" s="26"/>
      <c r="AJ158" s="26"/>
      <c r="AK158" s="26"/>
      <c r="AL158" s="26"/>
      <c r="AM158" s="26"/>
      <c r="AN158" s="26"/>
      <c r="AO158" s="26"/>
      <c r="AP158" s="26"/>
    </row>
    <row r="159" spans="16:42" ht="29.25" customHeight="1" thickBot="1">
      <c r="P159" s="588"/>
      <c r="Q159" s="492"/>
      <c r="R159" s="559"/>
      <c r="S159" s="560"/>
      <c r="T159" s="575"/>
      <c r="U159" s="576"/>
      <c r="V159" s="563"/>
      <c r="W159" s="563"/>
      <c r="X159" s="316" t="str">
        <f t="shared" si="28"/>
        <v/>
      </c>
      <c r="Y159" s="26"/>
      <c r="Z159" s="388"/>
      <c r="AA159" s="387"/>
      <c r="AB159" s="153" t="str">
        <f>IFERROR(VLOOKUP(T159,入出力データ!B$41:$D$44,3),"")</f>
        <v/>
      </c>
      <c r="AC159" s="393" t="str">
        <f>IFERROR(ROUND(V159*W159*AB159/1000,0),"")</f>
        <v/>
      </c>
      <c r="AF159" s="26"/>
      <c r="AG159" s="26"/>
      <c r="AH159" s="26"/>
      <c r="AI159" s="26"/>
      <c r="AJ159" s="26"/>
      <c r="AK159" s="26"/>
      <c r="AL159" s="26"/>
      <c r="AM159" s="26"/>
      <c r="AN159" s="26"/>
      <c r="AO159" s="26"/>
      <c r="AP159" s="26"/>
    </row>
    <row r="160" spans="16:42" ht="29.25" customHeight="1" thickBot="1">
      <c r="P160" s="590"/>
      <c r="Q160" s="357"/>
      <c r="R160" s="344" t="s">
        <v>88</v>
      </c>
      <c r="S160" s="362"/>
      <c r="T160" s="391"/>
      <c r="U160" s="392"/>
      <c r="V160" s="324"/>
      <c r="W160" s="314" t="s">
        <v>45</v>
      </c>
      <c r="X160" s="312">
        <f>ROUND(SUM(X158:X159),0)</f>
        <v>0</v>
      </c>
      <c r="Y160" s="26"/>
      <c r="Z160" s="388"/>
      <c r="AA160" s="387"/>
      <c r="AB160" s="390"/>
      <c r="AC160" s="155"/>
      <c r="AF160" s="78"/>
      <c r="AG160" s="80"/>
      <c r="AH160" s="80"/>
      <c r="AI160" s="78"/>
      <c r="AJ160" s="78"/>
    </row>
    <row r="161" spans="16:34" ht="19.5" customHeight="1">
      <c r="P161" s="3"/>
      <c r="Q161" s="317"/>
      <c r="R161" s="318"/>
      <c r="S161" s="318"/>
      <c r="T161" s="318"/>
      <c r="U161" s="318"/>
      <c r="V161" s="318"/>
      <c r="W161" s="318"/>
      <c r="X161" s="323"/>
      <c r="Y161" s="26"/>
      <c r="Z161" s="26"/>
      <c r="AA161" s="26"/>
      <c r="AB161" s="26"/>
      <c r="AC161" s="26"/>
      <c r="AD161" s="28"/>
      <c r="AE161" s="31"/>
      <c r="AF161" s="31"/>
      <c r="AG161" s="26"/>
      <c r="AH161" s="26"/>
    </row>
    <row r="162" spans="16:34" ht="17.25">
      <c r="P162" s="40" t="s">
        <v>282</v>
      </c>
    </row>
    <row r="164" spans="16:34" ht="45.75" customHeight="1">
      <c r="P164" s="598" t="s">
        <v>314</v>
      </c>
      <c r="Q164" s="599"/>
      <c r="R164" s="600"/>
      <c r="S164" s="596"/>
      <c r="T164" s="597"/>
      <c r="U164" s="3"/>
    </row>
    <row r="165" spans="16:34" ht="24" customHeight="1">
      <c r="Q165" s="41" t="s">
        <v>18</v>
      </c>
    </row>
  </sheetData>
  <sheetProtection algorithmName="SHA-512" hashValue="17p/vPJ9yjW7bFKMuvDtyKiJ6zcf6L5VBc7cASs/2jpXVprd27PQBjatZZSALHak1OqomcFxehM88aNTmtKMVA==" saltValue="63upsnxNKvKzcu5NPYrCDA==" spinCount="100000" sheet="1" objects="1" scenarios="1"/>
  <protectedRanges>
    <protectedRange sqref="Q63:W68 Q70:W75 Q81:W86 Q88:W93 Q99:W104 Q107:W111 Q117:X121 Q124:X128 Q136:W141 Q143:W148 Q155:W156 Q158:W159 S164" name="入力２"/>
    <protectedRange sqref="C44:I53 C6:H11 C33:H38 C17:I26" name="素材・電力入力"/>
  </protectedRanges>
  <mergeCells count="112">
    <mergeCell ref="P61:P62"/>
    <mergeCell ref="Q61:Q62"/>
    <mergeCell ref="R61:R62"/>
    <mergeCell ref="V61:W61"/>
    <mergeCell ref="S61:S62"/>
    <mergeCell ref="T61:U61"/>
    <mergeCell ref="P63:P69"/>
    <mergeCell ref="P70:P76"/>
    <mergeCell ref="S79:S80"/>
    <mergeCell ref="T79:V80"/>
    <mergeCell ref="P124:P130"/>
    <mergeCell ref="P117:P123"/>
    <mergeCell ref="T121:V121"/>
    <mergeCell ref="T122:V122"/>
    <mergeCell ref="T123:V123"/>
    <mergeCell ref="P115:P116"/>
    <mergeCell ref="Q115:Q116"/>
    <mergeCell ref="R115:R116"/>
    <mergeCell ref="P99:P105"/>
    <mergeCell ref="P106:P112"/>
    <mergeCell ref="T99:V99"/>
    <mergeCell ref="T128:V128"/>
    <mergeCell ref="T124:V124"/>
    <mergeCell ref="T125:V125"/>
    <mergeCell ref="T110:V110"/>
    <mergeCell ref="T111:V111"/>
    <mergeCell ref="T112:V112"/>
    <mergeCell ref="T115:V116"/>
    <mergeCell ref="T117:V117"/>
    <mergeCell ref="T105:V105"/>
    <mergeCell ref="T127:V127"/>
    <mergeCell ref="T106:V106"/>
    <mergeCell ref="T107:V107"/>
    <mergeCell ref="T108:V108"/>
    <mergeCell ref="S97:S98"/>
    <mergeCell ref="T97:V98"/>
    <mergeCell ref="T102:V102"/>
    <mergeCell ref="P97:P98"/>
    <mergeCell ref="Q97:Q98"/>
    <mergeCell ref="R97:R98"/>
    <mergeCell ref="P79:P80"/>
    <mergeCell ref="Q79:Q80"/>
    <mergeCell ref="R79:R80"/>
    <mergeCell ref="T87:V87"/>
    <mergeCell ref="T88:V88"/>
    <mergeCell ref="T82:V82"/>
    <mergeCell ref="T86:V86"/>
    <mergeCell ref="T81:V81"/>
    <mergeCell ref="T83:V83"/>
    <mergeCell ref="T84:V84"/>
    <mergeCell ref="T85:V85"/>
    <mergeCell ref="P81:P87"/>
    <mergeCell ref="P88:P94"/>
    <mergeCell ref="AF61:AF62"/>
    <mergeCell ref="T92:V92"/>
    <mergeCell ref="T93:V93"/>
    <mergeCell ref="T94:V94"/>
    <mergeCell ref="T103:V103"/>
    <mergeCell ref="T104:V104"/>
    <mergeCell ref="T100:V100"/>
    <mergeCell ref="T101:V101"/>
    <mergeCell ref="T89:V89"/>
    <mergeCell ref="T90:V90"/>
    <mergeCell ref="T91:V91"/>
    <mergeCell ref="T109:V109"/>
    <mergeCell ref="S164:T164"/>
    <mergeCell ref="P164:R164"/>
    <mergeCell ref="D5:E5"/>
    <mergeCell ref="D6:E6"/>
    <mergeCell ref="D7:E7"/>
    <mergeCell ref="D28:G28"/>
    <mergeCell ref="D11:E11"/>
    <mergeCell ref="D12:E12"/>
    <mergeCell ref="D8:E8"/>
    <mergeCell ref="D9:E9"/>
    <mergeCell ref="D10:E10"/>
    <mergeCell ref="D37:E37"/>
    <mergeCell ref="D38:E38"/>
    <mergeCell ref="D39:E39"/>
    <mergeCell ref="D55:G55"/>
    <mergeCell ref="D32:E32"/>
    <mergeCell ref="D33:E33"/>
    <mergeCell ref="D34:E34"/>
    <mergeCell ref="D35:E35"/>
    <mergeCell ref="D36:E36"/>
    <mergeCell ref="T126:V126"/>
    <mergeCell ref="T118:V118"/>
    <mergeCell ref="T119:V119"/>
    <mergeCell ref="T120:V120"/>
    <mergeCell ref="T156:U156"/>
    <mergeCell ref="T157:U157"/>
    <mergeCell ref="T158:U158"/>
    <mergeCell ref="T159:U159"/>
    <mergeCell ref="P153:P154"/>
    <mergeCell ref="Q153:Q154"/>
    <mergeCell ref="R153:R154"/>
    <mergeCell ref="S153:S154"/>
    <mergeCell ref="V153:W153"/>
    <mergeCell ref="P155:P157"/>
    <mergeCell ref="P158:P160"/>
    <mergeCell ref="T153:U154"/>
    <mergeCell ref="T155:U155"/>
    <mergeCell ref="P136:P142"/>
    <mergeCell ref="P143:P149"/>
    <mergeCell ref="T129:V129"/>
    <mergeCell ref="T130:V130"/>
    <mergeCell ref="P134:P135"/>
    <mergeCell ref="Q134:Q135"/>
    <mergeCell ref="R134:R135"/>
    <mergeCell ref="S134:S135"/>
    <mergeCell ref="T134:U134"/>
    <mergeCell ref="V134:W134"/>
  </mergeCells>
  <phoneticPr fontId="4"/>
  <dataValidations count="2">
    <dataValidation type="list" allowBlank="1" showInputMessage="1" showErrorMessage="1" sqref="H17:H26 H44:H53" xr:uid="{232B64E5-E4E4-4BEE-92E0-D22FEB6F246A}">
      <formula1>$O$2:$O$3</formula1>
    </dataValidation>
    <dataValidation type="list" allowBlank="1" showInputMessage="1" showErrorMessage="1" prompt="樹脂を選択" sqref="D6:E11 D33:E38" xr:uid="{0982320B-85CF-49FB-AB30-6B4969524E10}">
      <formula1>素材名</formula1>
    </dataValidation>
  </dataValidations>
  <pageMargins left="0.70866141732283472" right="0" top="0.74803149606299213" bottom="0.35433070866141736" header="0.31496062992125984" footer="0.31496062992125984"/>
  <pageSetup paperSize="9" scale="75" orientation="portrait" r:id="rId1"/>
  <headerFooter>
    <oddFooter xml:space="preserve">&amp;RR５（補正）プラ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1B58248-AFDD-4B60-9EA1-85F87106C9CF}">
          <x14:formula1>
            <xm:f>入出力データ!$B$41:$B$44</xm:f>
          </x14:formula1>
          <xm:sqref>T155:U156 T158:U159</xm:sqref>
        </x14:dataValidation>
        <x14:dataValidation type="list" allowBlank="1" showInputMessage="1" showErrorMessage="1" xr:uid="{4B706184-4251-471F-B73B-5596C4318EEA}">
          <x14:formula1>
            <xm:f>入出力データ!$B$10:$B$26</xm:f>
          </x14:formula1>
          <xm:sqref>T124:V125 T88:V93 T99:V104 T81:V86 T117:V118 T106:V111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47E7-5146-42A3-8397-57214F91A14E}">
  <sheetPr>
    <pageSetUpPr fitToPage="1"/>
  </sheetPr>
  <dimension ref="B1:AK104"/>
  <sheetViews>
    <sheetView showGridLines="0" showZeros="0" zoomScale="70" zoomScaleNormal="70" workbookViewId="0">
      <selection activeCell="T6" sqref="T6"/>
    </sheetView>
  </sheetViews>
  <sheetFormatPr defaultRowHeight="13.5"/>
  <cols>
    <col min="1" max="1" width="9" customWidth="1"/>
    <col min="2" max="2" width="3.375" customWidth="1"/>
    <col min="3" max="12" width="12" customWidth="1"/>
    <col min="13" max="13" width="5.125" customWidth="1"/>
    <col min="14" max="14" width="12" customWidth="1"/>
    <col min="15" max="15" width="3.75" customWidth="1"/>
    <col min="16"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4" ht="6" customHeight="1"/>
    <row r="2" spans="2:14" ht="27.75" customHeight="1">
      <c r="G2" s="3"/>
      <c r="J2" s="400" t="s">
        <v>318</v>
      </c>
      <c r="K2" s="650"/>
      <c r="L2" s="651"/>
      <c r="M2" s="651"/>
      <c r="N2" s="652"/>
    </row>
    <row r="3" spans="2:14" ht="27.75" customHeight="1">
      <c r="G3" s="3"/>
    </row>
    <row r="4" spans="2:14" ht="57" customHeight="1">
      <c r="B4" s="217" t="s">
        <v>227</v>
      </c>
    </row>
    <row r="5" spans="2:14" ht="57" customHeight="1" thickBot="1">
      <c r="B5" s="40" t="s">
        <v>0</v>
      </c>
      <c r="C5" s="40" t="s">
        <v>1</v>
      </c>
    </row>
    <row r="6" spans="2:14" ht="57" customHeight="1" thickBot="1">
      <c r="C6" s="658" t="s">
        <v>387</v>
      </c>
      <c r="D6" s="659"/>
      <c r="E6" s="660"/>
      <c r="F6" s="666" t="s">
        <v>389</v>
      </c>
      <c r="G6" s="666"/>
      <c r="H6" s="667"/>
      <c r="I6" s="476"/>
    </row>
    <row r="7" spans="2:14" ht="39.950000000000003" customHeight="1" thickTop="1">
      <c r="C7" s="663">
        <f>入力シート!D33</f>
        <v>0</v>
      </c>
      <c r="D7" s="615"/>
      <c r="E7" s="615"/>
      <c r="F7" s="668">
        <f>入力シート!F33-入力シート!F6</f>
        <v>0</v>
      </c>
      <c r="G7" s="668"/>
      <c r="H7" s="669"/>
      <c r="I7" s="477"/>
    </row>
    <row r="8" spans="2:14" ht="39.950000000000003" customHeight="1">
      <c r="C8" s="654">
        <f>入力シート!D34</f>
        <v>0</v>
      </c>
      <c r="D8" s="655"/>
      <c r="E8" s="655"/>
      <c r="F8" s="644">
        <f>入力シート!F34-入力シート!F7</f>
        <v>0</v>
      </c>
      <c r="G8" s="644"/>
      <c r="H8" s="645"/>
      <c r="I8" s="477"/>
    </row>
    <row r="9" spans="2:14" ht="39.950000000000003" customHeight="1">
      <c r="C9" s="654">
        <f>入力シート!D35</f>
        <v>0</v>
      </c>
      <c r="D9" s="655"/>
      <c r="E9" s="655"/>
      <c r="F9" s="644">
        <f>入力シート!F35-入力シート!F8</f>
        <v>0</v>
      </c>
      <c r="G9" s="644"/>
      <c r="H9" s="645"/>
      <c r="I9" s="477"/>
    </row>
    <row r="10" spans="2:14" ht="39.950000000000003" customHeight="1">
      <c r="C10" s="654">
        <f>入力シート!D36</f>
        <v>0</v>
      </c>
      <c r="D10" s="655"/>
      <c r="E10" s="655"/>
      <c r="F10" s="644">
        <f>入力シート!F36-入力シート!F9</f>
        <v>0</v>
      </c>
      <c r="G10" s="644"/>
      <c r="H10" s="645"/>
      <c r="I10" s="477"/>
    </row>
    <row r="11" spans="2:14" ht="39.950000000000003" customHeight="1">
      <c r="C11" s="654">
        <f>入力シート!D37</f>
        <v>0</v>
      </c>
      <c r="D11" s="655"/>
      <c r="E11" s="655"/>
      <c r="F11" s="644">
        <f>入力シート!F37-入力シート!F10</f>
        <v>0</v>
      </c>
      <c r="G11" s="644"/>
      <c r="H11" s="645"/>
      <c r="I11" s="477"/>
    </row>
    <row r="12" spans="2:14" ht="39.950000000000003" customHeight="1" thickBot="1">
      <c r="C12" s="656">
        <f>入力シート!D38</f>
        <v>0</v>
      </c>
      <c r="D12" s="657"/>
      <c r="E12" s="657"/>
      <c r="F12" s="646">
        <f>入力シート!F38-入力シート!F11</f>
        <v>0</v>
      </c>
      <c r="G12" s="646"/>
      <c r="H12" s="647"/>
      <c r="I12" s="477"/>
    </row>
    <row r="13" spans="2:14" ht="39.950000000000003" customHeight="1" thickTop="1" thickBot="1">
      <c r="C13" s="661" t="s">
        <v>2</v>
      </c>
      <c r="D13" s="662"/>
      <c r="E13" s="662"/>
      <c r="F13" s="664">
        <f>SUM(F7:F12)</f>
        <v>0</v>
      </c>
      <c r="G13" s="664"/>
      <c r="H13" s="665"/>
      <c r="I13" s="478"/>
    </row>
    <row r="14" spans="2:14" ht="57" customHeight="1">
      <c r="B14" s="43"/>
    </row>
    <row r="15" spans="2:14" ht="38.25" customHeight="1">
      <c r="B15" s="40" t="s">
        <v>3</v>
      </c>
      <c r="C15" s="40" t="s">
        <v>4</v>
      </c>
    </row>
    <row r="16" spans="2:14" ht="45" customHeight="1">
      <c r="C16" s="44" t="s">
        <v>5</v>
      </c>
      <c r="D16" s="36"/>
      <c r="E16" s="36"/>
      <c r="F16" s="36"/>
      <c r="G16" s="36"/>
      <c r="H16" s="36"/>
      <c r="I16" s="36"/>
      <c r="J16" s="36"/>
      <c r="K16" s="47"/>
      <c r="L16" s="36"/>
      <c r="M16" s="47"/>
      <c r="N16" s="37"/>
    </row>
    <row r="17" spans="2:27" ht="50.1" customHeight="1">
      <c r="C17" s="653" t="s">
        <v>6</v>
      </c>
      <c r="D17" s="653"/>
      <c r="E17" s="653"/>
      <c r="F17" s="42" t="s">
        <v>7</v>
      </c>
      <c r="G17" s="42" t="s">
        <v>8</v>
      </c>
      <c r="H17" s="42" t="s">
        <v>9</v>
      </c>
      <c r="I17" s="42" t="s">
        <v>10</v>
      </c>
      <c r="J17" s="42" t="s">
        <v>11</v>
      </c>
      <c r="K17" s="42" t="s">
        <v>7</v>
      </c>
      <c r="L17" s="46" t="s">
        <v>12</v>
      </c>
      <c r="N17" s="42" t="s">
        <v>13</v>
      </c>
    </row>
    <row r="18" spans="2:27" ht="50.1" customHeight="1">
      <c r="C18" s="648" t="s">
        <v>14</v>
      </c>
      <c r="D18" s="648"/>
      <c r="E18" s="648"/>
      <c r="F18" s="479">
        <f>入力シート!X69</f>
        <v>0</v>
      </c>
      <c r="G18" s="479">
        <f>入力シート!X87</f>
        <v>0</v>
      </c>
      <c r="H18" s="479">
        <f>入力シート!X105</f>
        <v>0</v>
      </c>
      <c r="I18" s="479">
        <f>入力シート!X123</f>
        <v>0</v>
      </c>
      <c r="J18" s="480">
        <f>入力シート!I39</f>
        <v>0</v>
      </c>
      <c r="K18" s="479">
        <f>入力シート!X142+入力シート!X157</f>
        <v>0</v>
      </c>
      <c r="L18" s="481">
        <f>SUM(F18:K18)</f>
        <v>0</v>
      </c>
      <c r="M18" s="482"/>
      <c r="N18" s="483"/>
    </row>
    <row r="19" spans="2:27" ht="50.1" customHeight="1">
      <c r="C19" s="648" t="s">
        <v>15</v>
      </c>
      <c r="D19" s="648"/>
      <c r="E19" s="648"/>
      <c r="F19" s="480">
        <f>入力シート!X76</f>
        <v>0</v>
      </c>
      <c r="G19" s="480">
        <f>入力シート!X94</f>
        <v>0</v>
      </c>
      <c r="H19" s="480">
        <f>入力シート!X112</f>
        <v>0</v>
      </c>
      <c r="I19" s="484">
        <f>入力シート!X130</f>
        <v>0</v>
      </c>
      <c r="J19" s="479">
        <f>入力シート!I12</f>
        <v>0</v>
      </c>
      <c r="K19" s="484">
        <f>入力シート!X149+入力シート!X160</f>
        <v>0</v>
      </c>
      <c r="L19" s="481">
        <f>SUM(F19:K19)</f>
        <v>0</v>
      </c>
      <c r="M19" s="482"/>
      <c r="N19" s="485"/>
    </row>
    <row r="20" spans="2:27" ht="50.1" customHeight="1">
      <c r="C20" s="649" t="s">
        <v>16</v>
      </c>
      <c r="D20" s="649"/>
      <c r="E20" s="649"/>
      <c r="F20" s="480">
        <f t="shared" ref="F20:N20" si="0">F18-F19</f>
        <v>0</v>
      </c>
      <c r="G20" s="480">
        <f t="shared" si="0"/>
        <v>0</v>
      </c>
      <c r="H20" s="480">
        <f t="shared" si="0"/>
        <v>0</v>
      </c>
      <c r="I20" s="480">
        <f t="shared" si="0"/>
        <v>0</v>
      </c>
      <c r="J20" s="480">
        <f t="shared" si="0"/>
        <v>0</v>
      </c>
      <c r="K20" s="480">
        <f t="shared" si="0"/>
        <v>0</v>
      </c>
      <c r="L20" s="486">
        <f t="shared" si="0"/>
        <v>0</v>
      </c>
      <c r="M20" s="475"/>
      <c r="N20" s="480">
        <f t="shared" si="0"/>
        <v>0</v>
      </c>
    </row>
    <row r="21" spans="2:27" ht="31.7" customHeight="1"/>
    <row r="22" spans="2:27" ht="18.75" customHeight="1"/>
    <row r="23" spans="2:27" ht="30.75" customHeight="1">
      <c r="B23" s="40" t="s">
        <v>17</v>
      </c>
      <c r="C23" s="40" t="s">
        <v>254</v>
      </c>
    </row>
    <row r="24" spans="2:27" ht="47.25" customHeight="1">
      <c r="C24" s="639" t="s">
        <v>253</v>
      </c>
      <c r="D24" s="639"/>
      <c r="E24" s="639"/>
      <c r="F24" s="639"/>
      <c r="G24" s="640">
        <f>入力シート!S164</f>
        <v>0</v>
      </c>
      <c r="H24" s="640"/>
      <c r="I24" s="640"/>
    </row>
    <row r="25" spans="2:27" ht="30.2" customHeight="1">
      <c r="C25" s="41"/>
    </row>
    <row r="26" spans="2:27" ht="30.2" customHeight="1"/>
    <row r="27" spans="2:27" ht="30.2" customHeight="1">
      <c r="B27" s="40" t="s">
        <v>19</v>
      </c>
      <c r="C27" s="40" t="s">
        <v>20</v>
      </c>
    </row>
    <row r="28" spans="2:27" ht="38.25" customHeight="1">
      <c r="C28" s="41" t="s">
        <v>21</v>
      </c>
    </row>
    <row r="29" spans="2:27" ht="48" customHeight="1">
      <c r="C29" s="637" t="s">
        <v>22</v>
      </c>
      <c r="D29" s="637"/>
      <c r="E29" s="637"/>
      <c r="F29" s="637"/>
      <c r="G29" s="638">
        <f>L20</f>
        <v>0</v>
      </c>
      <c r="H29" s="638"/>
      <c r="I29" s="638"/>
      <c r="Z29" s="641"/>
      <c r="AA29" s="641"/>
    </row>
    <row r="30" spans="2:27" ht="35.450000000000003" hidden="1" customHeight="1">
      <c r="D30" s="472" t="s">
        <v>23</v>
      </c>
      <c r="E30" s="330" t="e">
        <f>+#REF!</f>
        <v>#REF!</v>
      </c>
      <c r="F30" s="257"/>
      <c r="Y30" s="3"/>
      <c r="Z30" s="4"/>
      <c r="AA30" s="3"/>
    </row>
    <row r="31" spans="2:27" ht="33.75" customHeight="1">
      <c r="C31" s="41" t="s">
        <v>24</v>
      </c>
      <c r="E31" s="258"/>
      <c r="F31" s="257"/>
      <c r="Y31" s="3"/>
      <c r="Z31" s="4"/>
      <c r="AA31" s="3"/>
    </row>
    <row r="32" spans="2:27" ht="37.5" customHeight="1">
      <c r="C32" s="474" t="s">
        <v>25</v>
      </c>
      <c r="D32" s="473"/>
      <c r="E32" s="473"/>
      <c r="F32" s="473"/>
      <c r="Y32" s="3"/>
      <c r="Z32" s="4"/>
      <c r="AA32" s="3"/>
    </row>
    <row r="33" spans="3:29" ht="48" customHeight="1">
      <c r="C33" s="642" t="s">
        <v>26</v>
      </c>
      <c r="D33" s="642"/>
      <c r="E33" s="642"/>
      <c r="F33" s="642"/>
      <c r="G33" s="643" t="str">
        <f>IF(G24=0,"",ROUNDDOWN(G24/G29/9,0))</f>
        <v/>
      </c>
      <c r="H33" s="643"/>
      <c r="I33" s="643"/>
      <c r="Y33" s="3"/>
      <c r="Z33" s="4"/>
      <c r="AA33" s="3"/>
    </row>
    <row r="34" spans="3:29" ht="47.25" customHeight="1">
      <c r="C34" s="635" t="s">
        <v>27</v>
      </c>
      <c r="D34" s="635"/>
      <c r="E34" s="635"/>
      <c r="F34" s="635"/>
      <c r="G34" s="636" t="str">
        <f>IF(F13=0,"",ROUNDDOWN(G24/F13/9,0))</f>
        <v/>
      </c>
      <c r="H34" s="636"/>
      <c r="I34" s="636"/>
      <c r="Y34" s="3"/>
      <c r="Z34" s="4"/>
      <c r="AA34" s="3"/>
    </row>
    <row r="35" spans="3:29" ht="15" customHeight="1">
      <c r="D35" s="6"/>
      <c r="E35" s="5"/>
    </row>
    <row r="36" spans="3:29" ht="7.5" customHeight="1">
      <c r="D36" s="6"/>
      <c r="E36" s="5"/>
    </row>
    <row r="37" spans="3:29" ht="29.25" customHeight="1"/>
    <row r="38" spans="3:29" ht="32.25" customHeight="1">
      <c r="AC38" s="8"/>
    </row>
    <row r="39" spans="3:29" ht="20.100000000000001" customHeight="1">
      <c r="AC39" s="2"/>
    </row>
    <row r="40" spans="3:29" ht="20.100000000000001" customHeight="1">
      <c r="AC40" s="2"/>
    </row>
    <row r="41" spans="3:29" ht="20.100000000000001" customHeight="1">
      <c r="AC41" s="2"/>
    </row>
    <row r="42" spans="3:29" ht="20.100000000000001" customHeight="1">
      <c r="AC42" s="2"/>
    </row>
    <row r="43" spans="3:29" ht="20.100000000000001" customHeight="1">
      <c r="AC43" s="2"/>
    </row>
    <row r="44" spans="3:29" ht="20.100000000000001" customHeight="1">
      <c r="AC44" s="2"/>
    </row>
    <row r="45" spans="3:29" ht="20.100000000000001" customHeight="1"/>
    <row r="46" spans="3:29" ht="20.100000000000001" customHeight="1"/>
    <row r="47" spans="3:29" ht="20.100000000000001" customHeight="1"/>
    <row r="48" spans="3:29" ht="20.100000000000001" customHeight="1"/>
    <row r="49" spans="29:29" ht="20.100000000000001" customHeight="1"/>
    <row r="50" spans="29:29" ht="20.100000000000001" customHeight="1"/>
    <row r="51" spans="29:29" ht="20.100000000000001" customHeight="1">
      <c r="AC51" s="9"/>
    </row>
    <row r="52" spans="29:29" ht="20.100000000000001" customHeight="1">
      <c r="AC52" s="9"/>
    </row>
    <row r="53" spans="29:29" ht="20.100000000000001" customHeight="1">
      <c r="AC53" s="9"/>
    </row>
    <row r="54" spans="29:29" ht="20.100000000000001" customHeight="1">
      <c r="AC54" s="9"/>
    </row>
    <row r="55" spans="29:29" ht="20.100000000000001" customHeight="1">
      <c r="AC55" s="9"/>
    </row>
    <row r="56" spans="29:29" ht="20.100000000000001" customHeight="1">
      <c r="AC56" s="9"/>
    </row>
    <row r="57" spans="29:29" ht="20.100000000000001" customHeight="1"/>
    <row r="58" spans="29:29" ht="20.100000000000001" customHeight="1"/>
    <row r="59" spans="29:29" ht="20.100000000000001" customHeight="1"/>
    <row r="60" spans="29:29" ht="20.100000000000001" customHeight="1"/>
    <row r="61" spans="29:29" ht="23.25" customHeight="1"/>
    <row r="62" spans="29:29" ht="23.25" customHeight="1"/>
    <row r="63" spans="29:29" ht="31.7" customHeight="1"/>
    <row r="64" spans="29:29" ht="19.5" customHeight="1"/>
    <row r="65" ht="19.5" customHeight="1"/>
    <row r="66" ht="19.5" customHeight="1"/>
    <row r="67" ht="19.5" customHeight="1"/>
    <row r="69" ht="29.25" customHeight="1"/>
    <row r="70" ht="44.45" customHeight="1"/>
    <row r="71" ht="19.5"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18.75" customHeight="1"/>
    <row r="81" spans="33:37" ht="18.75" customHeight="1"/>
    <row r="82" spans="33:37" ht="21.2" customHeight="1"/>
    <row r="85" spans="33:37">
      <c r="AG85" s="11"/>
      <c r="AH85" s="21"/>
      <c r="AI85" s="18"/>
      <c r="AJ85" s="18"/>
      <c r="AK85" s="18"/>
    </row>
    <row r="86" spans="33:37" ht="24.95" customHeight="1">
      <c r="AG86" s="11"/>
      <c r="AH86" s="22"/>
      <c r="AI86" s="19" t="s">
        <v>28</v>
      </c>
      <c r="AJ86" s="18"/>
      <c r="AK86" s="18"/>
    </row>
    <row r="87" spans="33:37" ht="24.95" customHeight="1">
      <c r="AG87" s="12" t="s">
        <v>29</v>
      </c>
      <c r="AH87" s="23" t="s">
        <v>30</v>
      </c>
      <c r="AI87" s="16"/>
      <c r="AJ87" s="13"/>
      <c r="AK87" s="13"/>
    </row>
    <row r="88" spans="33:37" ht="24.95" customHeight="1">
      <c r="AG88" s="10"/>
      <c r="AH88" s="20" t="e">
        <f>#REF!</f>
        <v>#REF!</v>
      </c>
      <c r="AI88" s="17"/>
      <c r="AJ88" s="14"/>
      <c r="AK88" s="15"/>
    </row>
    <row r="89" spans="33:37" ht="24.95" customHeight="1">
      <c r="AG89" s="10"/>
      <c r="AH89" s="20" t="e">
        <f>#REF!</f>
        <v>#REF!</v>
      </c>
      <c r="AI89" s="17"/>
      <c r="AJ89" s="14"/>
      <c r="AK89" s="15"/>
    </row>
    <row r="90" spans="33:37" ht="24.95" customHeight="1">
      <c r="AG90" s="10"/>
      <c r="AH90" s="20" t="e">
        <f>#REF!</f>
        <v>#REF!</v>
      </c>
      <c r="AI90" s="17"/>
      <c r="AJ90" s="14"/>
      <c r="AK90" s="15"/>
    </row>
    <row r="91" spans="33:37" ht="24.95" customHeight="1">
      <c r="AG91" s="10"/>
      <c r="AH91" s="20" t="e">
        <f>#REF!</f>
        <v>#REF!</v>
      </c>
      <c r="AI91" s="17"/>
      <c r="AJ91" s="14"/>
      <c r="AK91" s="15"/>
    </row>
    <row r="92" spans="33:37" ht="24.95" customHeight="1">
      <c r="AG92" s="10"/>
      <c r="AH92" s="20" t="e">
        <f>#REF!</f>
        <v>#REF!</v>
      </c>
      <c r="AI92" s="17"/>
      <c r="AJ92" s="14"/>
      <c r="AK92" s="15"/>
    </row>
    <row r="93" spans="33:37" ht="24.95" customHeight="1">
      <c r="AG93" s="10"/>
      <c r="AH93" s="20" t="e">
        <f>#REF!</f>
        <v>#REF!</v>
      </c>
      <c r="AI93" s="17"/>
      <c r="AJ93" s="14"/>
      <c r="AK93" s="15"/>
    </row>
    <row r="94" spans="33:37" ht="24.95" customHeight="1">
      <c r="AG94" s="10"/>
      <c r="AH94" s="20" t="e">
        <f>#REF!</f>
        <v>#REF!</v>
      </c>
      <c r="AI94" s="17"/>
      <c r="AJ94" s="14"/>
      <c r="AK94" s="15"/>
    </row>
    <row r="95" spans="33:37" ht="24.95" customHeight="1">
      <c r="AG95" s="10"/>
      <c r="AH95" s="20" t="e">
        <f>#REF!</f>
        <v>#REF!</v>
      </c>
      <c r="AI95" s="17"/>
      <c r="AJ95" s="14"/>
      <c r="AK95" s="15"/>
    </row>
    <row r="96" spans="33:37" ht="24.95" customHeight="1">
      <c r="AG96" s="10"/>
      <c r="AH96" s="20" t="e">
        <f>#REF!</f>
        <v>#REF!</v>
      </c>
      <c r="AI96" s="17"/>
      <c r="AJ96" s="14"/>
      <c r="AK96" s="15"/>
    </row>
    <row r="97" spans="33:37" ht="24.95" customHeight="1">
      <c r="AG97" s="10"/>
      <c r="AH97" s="20" t="e">
        <f>#REF!</f>
        <v>#REF!</v>
      </c>
      <c r="AI97" s="17"/>
      <c r="AJ97" s="14"/>
      <c r="AK97" s="15"/>
    </row>
    <row r="98" spans="33:37" ht="24.95" customHeight="1">
      <c r="AG98" s="10"/>
      <c r="AH98" s="20" t="e">
        <f>#REF!</f>
        <v>#REF!</v>
      </c>
      <c r="AI98" s="17"/>
      <c r="AJ98" s="14"/>
      <c r="AK98" s="15"/>
    </row>
    <row r="99" spans="33:37" ht="24.95" customHeight="1">
      <c r="AG99" s="10"/>
      <c r="AH99" s="20" t="e">
        <f>#REF!</f>
        <v>#REF!</v>
      </c>
      <c r="AI99" s="17"/>
      <c r="AJ99" s="14"/>
      <c r="AK99" s="15"/>
    </row>
    <row r="100" spans="33:37" ht="24.95" customHeight="1">
      <c r="AG100" s="10"/>
      <c r="AH100" s="25" t="e">
        <f>#REF!</f>
        <v>#REF!</v>
      </c>
      <c r="AI100" s="24"/>
      <c r="AJ100" s="14"/>
      <c r="AK100" s="15"/>
    </row>
    <row r="101" spans="33:37" ht="24" customHeight="1">
      <c r="AG101" s="10"/>
      <c r="AH101" s="25" t="e">
        <f>#REF!</f>
        <v>#REF!</v>
      </c>
    </row>
    <row r="102" spans="33:37">
      <c r="AG102" s="10"/>
      <c r="AH102" s="25" t="e">
        <f>#REF!</f>
        <v>#REF!</v>
      </c>
    </row>
    <row r="103" spans="33:37">
      <c r="AH103" s="25" t="e">
        <f>#REF!</f>
        <v>#REF!</v>
      </c>
    </row>
    <row r="104" spans="33:37">
      <c r="AH104" s="25" t="e">
        <f>#REF!</f>
        <v>#REF!</v>
      </c>
    </row>
  </sheetData>
  <sheetProtection sheet="1" objects="1" scenarios="1"/>
  <protectedRanges>
    <protectedRange sqref="N18:N19" name="製品製造"/>
  </protectedRanges>
  <mergeCells count="30">
    <mergeCell ref="K2:N2"/>
    <mergeCell ref="C17:E17"/>
    <mergeCell ref="C11:E11"/>
    <mergeCell ref="C12:E12"/>
    <mergeCell ref="C6:E6"/>
    <mergeCell ref="C13:E13"/>
    <mergeCell ref="C9:E9"/>
    <mergeCell ref="C10:E10"/>
    <mergeCell ref="C7:E7"/>
    <mergeCell ref="C8:E8"/>
    <mergeCell ref="F13:H13"/>
    <mergeCell ref="F6:H6"/>
    <mergeCell ref="F7:H7"/>
    <mergeCell ref="F8:H8"/>
    <mergeCell ref="F9:H9"/>
    <mergeCell ref="F10:H10"/>
    <mergeCell ref="Z29:AA29"/>
    <mergeCell ref="C33:F33"/>
    <mergeCell ref="G33:I33"/>
    <mergeCell ref="F11:H11"/>
    <mergeCell ref="F12:H12"/>
    <mergeCell ref="C18:E18"/>
    <mergeCell ref="C19:E19"/>
    <mergeCell ref="C20:E20"/>
    <mergeCell ref="C34:F34"/>
    <mergeCell ref="G34:I34"/>
    <mergeCell ref="C29:F29"/>
    <mergeCell ref="G29:I29"/>
    <mergeCell ref="C24:F24"/>
    <mergeCell ref="G24:I24"/>
  </mergeCells>
  <phoneticPr fontId="4"/>
  <pageMargins left="0.70866141732283472" right="0.31496062992125984" top="0.94488188976377963" bottom="0.94488188976377963" header="0.31496062992125984" footer="0.51181102362204722"/>
  <pageSetup paperSize="9" scale="58" orientation="portrait" r:id="rId1"/>
  <headerFooter>
    <oddFooter>&amp;R&amp;14R5（補正）プラ&amp;18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4"/>
  <sheetViews>
    <sheetView showGridLines="0" showZeros="0" topLeftCell="A12" zoomScale="70" zoomScaleNormal="70" workbookViewId="0">
      <selection activeCell="G24" sqref="G24:I24"/>
    </sheetView>
  </sheetViews>
  <sheetFormatPr defaultRowHeight="13.5"/>
  <cols>
    <col min="1" max="1" width="6.625" customWidth="1"/>
    <col min="2" max="2" width="3.375" customWidth="1"/>
    <col min="3" max="14" width="12" customWidth="1"/>
    <col min="15" max="15" width="3.625" customWidth="1"/>
    <col min="16"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4" ht="6" customHeight="1"/>
    <row r="2" spans="2:14" ht="27.75" customHeight="1">
      <c r="G2" s="3"/>
      <c r="J2" s="400" t="s">
        <v>318</v>
      </c>
      <c r="K2" s="650"/>
      <c r="L2" s="651"/>
      <c r="M2" s="651"/>
      <c r="N2" s="652"/>
    </row>
    <row r="3" spans="2:14" ht="27.75" customHeight="1">
      <c r="G3" s="3"/>
    </row>
    <row r="4" spans="2:14" ht="57" customHeight="1">
      <c r="B4" s="217" t="s">
        <v>227</v>
      </c>
    </row>
    <row r="5" spans="2:14" ht="57" customHeight="1" thickBot="1">
      <c r="B5" s="40" t="s">
        <v>0</v>
      </c>
      <c r="C5" s="40" t="s">
        <v>1</v>
      </c>
    </row>
    <row r="6" spans="2:14" ht="57" customHeight="1" thickBot="1">
      <c r="C6" s="658" t="s">
        <v>385</v>
      </c>
      <c r="D6" s="659"/>
      <c r="E6" s="701"/>
      <c r="F6" s="702" t="s">
        <v>386</v>
      </c>
      <c r="G6" s="703"/>
      <c r="H6" s="658" t="s">
        <v>387</v>
      </c>
      <c r="I6" s="659"/>
      <c r="J6" s="701"/>
      <c r="K6" s="702" t="s">
        <v>388</v>
      </c>
      <c r="L6" s="701"/>
      <c r="M6" s="702" t="s">
        <v>389</v>
      </c>
      <c r="N6" s="704"/>
    </row>
    <row r="7" spans="2:14" ht="39.950000000000003" customHeight="1" thickTop="1">
      <c r="C7" s="663">
        <f>入力シート!D6</f>
        <v>0</v>
      </c>
      <c r="D7" s="615"/>
      <c r="E7" s="615"/>
      <c r="F7" s="695">
        <f>入力シート!F6</f>
        <v>0</v>
      </c>
      <c r="G7" s="696"/>
      <c r="H7" s="663">
        <f>入力シート!D33</f>
        <v>0</v>
      </c>
      <c r="I7" s="615"/>
      <c r="J7" s="615"/>
      <c r="K7" s="697">
        <f>入力シート!F33</f>
        <v>0</v>
      </c>
      <c r="L7" s="698"/>
      <c r="M7" s="699">
        <f>K7-F7</f>
        <v>0</v>
      </c>
      <c r="N7" s="700"/>
    </row>
    <row r="8" spans="2:14" ht="39.950000000000003" customHeight="1">
      <c r="C8" s="663">
        <f>入力シート!D7</f>
        <v>0</v>
      </c>
      <c r="D8" s="615"/>
      <c r="E8" s="615"/>
      <c r="F8" s="679">
        <f>入力シート!F7</f>
        <v>0</v>
      </c>
      <c r="G8" s="680"/>
      <c r="H8" s="654">
        <f>入力シート!D34</f>
        <v>0</v>
      </c>
      <c r="I8" s="655"/>
      <c r="J8" s="655"/>
      <c r="K8" s="674">
        <f>入力シート!F34</f>
        <v>0</v>
      </c>
      <c r="L8" s="675"/>
      <c r="M8" s="676">
        <f t="shared" ref="M8:M12" si="0">K8-F8</f>
        <v>0</v>
      </c>
      <c r="N8" s="677"/>
    </row>
    <row r="9" spans="2:14" ht="39.950000000000003" customHeight="1">
      <c r="C9" s="663">
        <f>入力シート!D8</f>
        <v>0</v>
      </c>
      <c r="D9" s="615"/>
      <c r="E9" s="615"/>
      <c r="F9" s="679">
        <f>入力シート!F8</f>
        <v>0</v>
      </c>
      <c r="G9" s="680"/>
      <c r="H9" s="654">
        <f>入力シート!D35</f>
        <v>0</v>
      </c>
      <c r="I9" s="655"/>
      <c r="J9" s="655"/>
      <c r="K9" s="674">
        <f>入力シート!F35</f>
        <v>0</v>
      </c>
      <c r="L9" s="675"/>
      <c r="M9" s="676">
        <f t="shared" si="0"/>
        <v>0</v>
      </c>
      <c r="N9" s="677"/>
    </row>
    <row r="10" spans="2:14" ht="39.950000000000003" customHeight="1">
      <c r="C10" s="663">
        <f>入力シート!D9</f>
        <v>0</v>
      </c>
      <c r="D10" s="615"/>
      <c r="E10" s="615"/>
      <c r="F10" s="679">
        <f>入力シート!F9</f>
        <v>0</v>
      </c>
      <c r="G10" s="680"/>
      <c r="H10" s="654">
        <f>入力シート!D36</f>
        <v>0</v>
      </c>
      <c r="I10" s="655"/>
      <c r="J10" s="655"/>
      <c r="K10" s="674">
        <f>入力シート!F36</f>
        <v>0</v>
      </c>
      <c r="L10" s="675"/>
      <c r="M10" s="676">
        <f t="shared" si="0"/>
        <v>0</v>
      </c>
      <c r="N10" s="677"/>
    </row>
    <row r="11" spans="2:14" ht="39.950000000000003" customHeight="1">
      <c r="C11" s="663">
        <f>入力シート!D10</f>
        <v>0</v>
      </c>
      <c r="D11" s="615"/>
      <c r="E11" s="615"/>
      <c r="F11" s="679">
        <f>入力シート!F10</f>
        <v>0</v>
      </c>
      <c r="G11" s="680"/>
      <c r="H11" s="654">
        <f>入力シート!D37</f>
        <v>0</v>
      </c>
      <c r="I11" s="655"/>
      <c r="J11" s="655"/>
      <c r="K11" s="674">
        <f>入力シート!F37</f>
        <v>0</v>
      </c>
      <c r="L11" s="675"/>
      <c r="M11" s="676">
        <f t="shared" si="0"/>
        <v>0</v>
      </c>
      <c r="N11" s="677"/>
    </row>
    <row r="12" spans="2:14" ht="39.950000000000003" customHeight="1" thickBot="1">
      <c r="C12" s="686">
        <f>入力シート!D11</f>
        <v>0</v>
      </c>
      <c r="D12" s="687"/>
      <c r="E12" s="687"/>
      <c r="F12" s="693">
        <f>入力シート!F11</f>
        <v>0</v>
      </c>
      <c r="G12" s="694"/>
      <c r="H12" s="686">
        <f>入力シート!D38</f>
        <v>0</v>
      </c>
      <c r="I12" s="687"/>
      <c r="J12" s="687"/>
      <c r="K12" s="670">
        <f>入力シート!F38</f>
        <v>0</v>
      </c>
      <c r="L12" s="671"/>
      <c r="M12" s="672">
        <f t="shared" si="0"/>
        <v>0</v>
      </c>
      <c r="N12" s="673"/>
    </row>
    <row r="13" spans="2:14" ht="39.950000000000003" customHeight="1" thickTop="1" thickBot="1">
      <c r="C13" s="688" t="s">
        <v>2</v>
      </c>
      <c r="D13" s="689"/>
      <c r="E13" s="690"/>
      <c r="F13" s="691">
        <f>SUM(F7:F12)</f>
        <v>0</v>
      </c>
      <c r="G13" s="692"/>
      <c r="H13" s="688" t="s">
        <v>2</v>
      </c>
      <c r="I13" s="689"/>
      <c r="J13" s="690"/>
      <c r="K13" s="664">
        <f>SUM(K7:K12)</f>
        <v>0</v>
      </c>
      <c r="L13" s="664"/>
      <c r="M13" s="681">
        <f>SUM(M7:N12)</f>
        <v>0</v>
      </c>
      <c r="N13" s="682"/>
    </row>
    <row r="14" spans="2:14" ht="57" customHeight="1">
      <c r="B14" s="43"/>
    </row>
    <row r="15" spans="2:14" ht="38.25" customHeight="1">
      <c r="B15" s="40" t="s">
        <v>3</v>
      </c>
      <c r="C15" s="40" t="s">
        <v>4</v>
      </c>
    </row>
    <row r="16" spans="2:14" ht="45" customHeight="1">
      <c r="C16" s="44" t="s">
        <v>5</v>
      </c>
      <c r="D16" s="36"/>
      <c r="E16" s="36"/>
      <c r="F16" s="36"/>
      <c r="G16" s="36"/>
      <c r="H16" s="36"/>
      <c r="I16" s="36"/>
      <c r="J16" s="36"/>
      <c r="K16" s="47"/>
      <c r="L16" s="36"/>
      <c r="M16" s="47"/>
      <c r="N16" s="37"/>
    </row>
    <row r="17" spans="2:27" ht="50.1" customHeight="1">
      <c r="C17" s="653" t="s">
        <v>6</v>
      </c>
      <c r="D17" s="653"/>
      <c r="E17" s="653"/>
      <c r="F17" s="42" t="s">
        <v>7</v>
      </c>
      <c r="G17" s="42" t="s">
        <v>8</v>
      </c>
      <c r="H17" s="42" t="s">
        <v>9</v>
      </c>
      <c r="I17" s="42" t="s">
        <v>10</v>
      </c>
      <c r="J17" s="42" t="s">
        <v>11</v>
      </c>
      <c r="K17" s="42" t="s">
        <v>7</v>
      </c>
      <c r="L17" s="46" t="s">
        <v>12</v>
      </c>
      <c r="N17" s="42" t="s">
        <v>13</v>
      </c>
    </row>
    <row r="18" spans="2:27" ht="50.1" customHeight="1">
      <c r="C18" s="683" t="s">
        <v>14</v>
      </c>
      <c r="D18" s="683"/>
      <c r="E18" s="683"/>
      <c r="F18" s="479">
        <f>入力シート!X69</f>
        <v>0</v>
      </c>
      <c r="G18" s="479">
        <f>入力シート!X87</f>
        <v>0</v>
      </c>
      <c r="H18" s="479">
        <f>入力シート!X105</f>
        <v>0</v>
      </c>
      <c r="I18" s="479">
        <f>入力シート!X123</f>
        <v>0</v>
      </c>
      <c r="J18" s="480">
        <f>入力シート!I39</f>
        <v>0</v>
      </c>
      <c r="K18" s="479">
        <f>入力シート!X142+入力シート!X157</f>
        <v>0</v>
      </c>
      <c r="L18" s="481">
        <f>SUM(F18:K18)</f>
        <v>0</v>
      </c>
      <c r="M18" s="482"/>
      <c r="N18" s="483"/>
    </row>
    <row r="19" spans="2:27" ht="50.1" customHeight="1">
      <c r="C19" s="683" t="s">
        <v>15</v>
      </c>
      <c r="D19" s="683"/>
      <c r="E19" s="683"/>
      <c r="F19" s="480">
        <f>入力シート!X76</f>
        <v>0</v>
      </c>
      <c r="G19" s="480">
        <f>入力シート!X94</f>
        <v>0</v>
      </c>
      <c r="H19" s="480">
        <f>入力シート!X112</f>
        <v>0</v>
      </c>
      <c r="I19" s="484">
        <f>入力シート!X130</f>
        <v>0</v>
      </c>
      <c r="J19" s="479">
        <f>入力シート!I12</f>
        <v>0</v>
      </c>
      <c r="K19" s="484">
        <f>入力シート!X149+入力シート!X160</f>
        <v>0</v>
      </c>
      <c r="L19" s="481">
        <f>SUM(F19:K19)</f>
        <v>0</v>
      </c>
      <c r="M19" s="482"/>
      <c r="N19" s="485"/>
    </row>
    <row r="20" spans="2:27" ht="50.1" customHeight="1">
      <c r="C20" s="684" t="s">
        <v>16</v>
      </c>
      <c r="D20" s="684"/>
      <c r="E20" s="684"/>
      <c r="F20" s="480">
        <f t="shared" ref="F20:N20" si="1">F18-F19</f>
        <v>0</v>
      </c>
      <c r="G20" s="480">
        <f t="shared" si="1"/>
        <v>0</v>
      </c>
      <c r="H20" s="480">
        <f t="shared" si="1"/>
        <v>0</v>
      </c>
      <c r="I20" s="480">
        <f t="shared" si="1"/>
        <v>0</v>
      </c>
      <c r="J20" s="480">
        <f t="shared" si="1"/>
        <v>0</v>
      </c>
      <c r="K20" s="480">
        <f t="shared" si="1"/>
        <v>0</v>
      </c>
      <c r="L20" s="486">
        <f t="shared" si="1"/>
        <v>0</v>
      </c>
      <c r="M20" s="475"/>
      <c r="N20" s="480">
        <f t="shared" si="1"/>
        <v>0</v>
      </c>
    </row>
    <row r="21" spans="2:27" ht="31.7" customHeight="1"/>
    <row r="22" spans="2:27" ht="18.75" customHeight="1"/>
    <row r="23" spans="2:27" ht="30.75" customHeight="1">
      <c r="B23" s="40" t="s">
        <v>17</v>
      </c>
      <c r="C23" s="40" t="s">
        <v>254</v>
      </c>
    </row>
    <row r="24" spans="2:27" ht="47.25" customHeight="1">
      <c r="C24" s="685" t="s">
        <v>253</v>
      </c>
      <c r="D24" s="685"/>
      <c r="E24" s="685"/>
      <c r="F24" s="685"/>
      <c r="G24" s="678">
        <f>入力シート!S164</f>
        <v>0</v>
      </c>
      <c r="H24" s="678"/>
      <c r="I24" s="678"/>
    </row>
    <row r="25" spans="2:27" ht="30.2" customHeight="1">
      <c r="C25" s="41"/>
    </row>
    <row r="26" spans="2:27" ht="30.2" customHeight="1"/>
    <row r="27" spans="2:27" ht="30.2" customHeight="1">
      <c r="B27" s="40" t="s">
        <v>19</v>
      </c>
      <c r="C27" s="40" t="s">
        <v>20</v>
      </c>
    </row>
    <row r="28" spans="2:27" ht="38.25" customHeight="1">
      <c r="C28" s="41" t="s">
        <v>21</v>
      </c>
    </row>
    <row r="29" spans="2:27" ht="48" customHeight="1">
      <c r="C29" s="642" t="s">
        <v>22</v>
      </c>
      <c r="D29" s="642"/>
      <c r="E29" s="642"/>
      <c r="F29" s="642"/>
      <c r="G29" s="638">
        <f>L20</f>
        <v>0</v>
      </c>
      <c r="H29" s="638"/>
      <c r="I29" s="638"/>
      <c r="Z29" s="641"/>
      <c r="AA29" s="641"/>
    </row>
    <row r="30" spans="2:27" ht="35.450000000000003" hidden="1" customHeight="1">
      <c r="D30" s="472" t="s">
        <v>23</v>
      </c>
      <c r="E30" s="330" t="e">
        <f>+#REF!</f>
        <v>#REF!</v>
      </c>
      <c r="F30" s="257"/>
      <c r="Y30" s="3"/>
      <c r="Z30" s="4"/>
      <c r="AA30" s="3"/>
    </row>
    <row r="31" spans="2:27" ht="33.75" customHeight="1">
      <c r="C31" s="41" t="s">
        <v>24</v>
      </c>
      <c r="E31" s="258"/>
      <c r="F31" s="257"/>
      <c r="Y31" s="3"/>
      <c r="Z31" s="4"/>
      <c r="AA31" s="3"/>
    </row>
    <row r="32" spans="2:27" ht="37.5" customHeight="1">
      <c r="C32" s="474" t="s">
        <v>25</v>
      </c>
      <c r="D32" s="473"/>
      <c r="E32" s="473"/>
      <c r="F32" s="473"/>
      <c r="Y32" s="3"/>
      <c r="Z32" s="4"/>
      <c r="AA32" s="3"/>
    </row>
    <row r="33" spans="3:29" ht="48" customHeight="1">
      <c r="C33" s="642" t="s">
        <v>26</v>
      </c>
      <c r="D33" s="642"/>
      <c r="E33" s="642"/>
      <c r="F33" s="642"/>
      <c r="G33" s="643" t="str">
        <f>IF(G24=0,"",ROUNDDOWN(G24/G29/9,0))</f>
        <v/>
      </c>
      <c r="H33" s="643"/>
      <c r="I33" s="643"/>
      <c r="Y33" s="3"/>
      <c r="Z33" s="4"/>
      <c r="AA33" s="3"/>
    </row>
    <row r="34" spans="3:29" ht="47.25" customHeight="1">
      <c r="C34" s="635" t="s">
        <v>27</v>
      </c>
      <c r="D34" s="635"/>
      <c r="E34" s="635"/>
      <c r="F34" s="635"/>
      <c r="G34" s="636" t="str">
        <f>IF(M13=0,"",ROUNDDOWN(G24/M13/9,0))</f>
        <v/>
      </c>
      <c r="H34" s="636"/>
      <c r="I34" s="636"/>
      <c r="Y34" s="3"/>
      <c r="Z34" s="4"/>
      <c r="AA34" s="3"/>
    </row>
    <row r="35" spans="3:29" ht="15" customHeight="1">
      <c r="D35" s="6"/>
      <c r="E35" s="5"/>
    </row>
    <row r="36" spans="3:29" ht="7.5" customHeight="1">
      <c r="D36" s="6"/>
      <c r="E36" s="5"/>
    </row>
    <row r="37" spans="3:29" ht="29.25" customHeight="1"/>
    <row r="38" spans="3:29" ht="32.25" customHeight="1">
      <c r="AC38" s="8"/>
    </row>
    <row r="39" spans="3:29" ht="20.100000000000001" customHeight="1">
      <c r="AC39" s="2"/>
    </row>
    <row r="40" spans="3:29" ht="20.100000000000001" customHeight="1">
      <c r="AC40" s="2"/>
    </row>
    <row r="41" spans="3:29" ht="20.100000000000001" customHeight="1">
      <c r="AC41" s="2"/>
    </row>
    <row r="42" spans="3:29" ht="20.100000000000001" customHeight="1">
      <c r="AC42" s="2"/>
    </row>
    <row r="43" spans="3:29" ht="20.100000000000001" customHeight="1">
      <c r="AC43" s="2"/>
    </row>
    <row r="44" spans="3:29" ht="20.100000000000001" customHeight="1">
      <c r="AC44" s="2"/>
    </row>
    <row r="45" spans="3:29" ht="20.100000000000001" customHeight="1"/>
    <row r="46" spans="3:29" ht="20.100000000000001" customHeight="1"/>
    <row r="47" spans="3:29" ht="20.100000000000001" customHeight="1"/>
    <row r="48" spans="3:29" ht="20.100000000000001" customHeight="1"/>
    <row r="49" spans="29:29" ht="20.100000000000001" customHeight="1"/>
    <row r="50" spans="29:29" ht="20.100000000000001" customHeight="1"/>
    <row r="51" spans="29:29" ht="20.100000000000001" customHeight="1">
      <c r="AC51" s="9"/>
    </row>
    <row r="52" spans="29:29" ht="20.100000000000001" customHeight="1">
      <c r="AC52" s="9"/>
    </row>
    <row r="53" spans="29:29" ht="20.100000000000001" customHeight="1">
      <c r="AC53" s="9"/>
    </row>
    <row r="54" spans="29:29" ht="20.100000000000001" customHeight="1">
      <c r="AC54" s="9"/>
    </row>
    <row r="55" spans="29:29" ht="20.100000000000001" customHeight="1">
      <c r="AC55" s="9"/>
    </row>
    <row r="56" spans="29:29" ht="20.100000000000001" customHeight="1">
      <c r="AC56" s="9"/>
    </row>
    <row r="57" spans="29:29" ht="20.100000000000001" customHeight="1"/>
    <row r="58" spans="29:29" ht="20.100000000000001" customHeight="1"/>
    <row r="59" spans="29:29" ht="20.100000000000001" customHeight="1"/>
    <row r="60" spans="29:29" ht="20.100000000000001" customHeight="1"/>
    <row r="61" spans="29:29" ht="23.25" customHeight="1"/>
    <row r="62" spans="29:29" ht="23.25" customHeight="1"/>
    <row r="63" spans="29:29" ht="31.7" customHeight="1"/>
    <row r="64" spans="29:29" ht="19.5" customHeight="1"/>
    <row r="65" ht="19.5" customHeight="1"/>
    <row r="66" ht="19.5" customHeight="1"/>
    <row r="67" ht="19.5" customHeight="1"/>
    <row r="69" ht="29.25" customHeight="1"/>
    <row r="70" ht="44.45" customHeight="1"/>
    <row r="71" ht="19.5"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18.75" customHeight="1"/>
    <row r="81" spans="33:37" ht="18.75" customHeight="1"/>
    <row r="82" spans="33:37" ht="21.2" customHeight="1"/>
    <row r="85" spans="33:37">
      <c r="AG85" s="11"/>
      <c r="AH85" s="21"/>
      <c r="AI85" s="18"/>
      <c r="AJ85" s="18"/>
      <c r="AK85" s="18"/>
    </row>
    <row r="86" spans="33:37" ht="24.95" customHeight="1">
      <c r="AG86" s="11"/>
      <c r="AH86" s="22"/>
      <c r="AI86" s="19" t="s">
        <v>28</v>
      </c>
      <c r="AJ86" s="18"/>
      <c r="AK86" s="18"/>
    </row>
    <row r="87" spans="33:37" ht="24.95" customHeight="1">
      <c r="AG87" s="12" t="s">
        <v>29</v>
      </c>
      <c r="AH87" s="23" t="s">
        <v>30</v>
      </c>
      <c r="AI87" s="16"/>
      <c r="AJ87" s="13"/>
      <c r="AK87" s="13"/>
    </row>
    <row r="88" spans="33:37" ht="24.95" customHeight="1">
      <c r="AG88" s="10"/>
      <c r="AH88" s="20" t="e">
        <f>#REF!</f>
        <v>#REF!</v>
      </c>
      <c r="AI88" s="17"/>
      <c r="AJ88" s="14"/>
      <c r="AK88" s="15"/>
    </row>
    <row r="89" spans="33:37" ht="24.95" customHeight="1">
      <c r="AG89" s="10"/>
      <c r="AH89" s="20" t="e">
        <f>#REF!</f>
        <v>#REF!</v>
      </c>
      <c r="AI89" s="17"/>
      <c r="AJ89" s="14"/>
      <c r="AK89" s="15"/>
    </row>
    <row r="90" spans="33:37" ht="24.95" customHeight="1">
      <c r="AG90" s="10"/>
      <c r="AH90" s="20" t="e">
        <f>#REF!</f>
        <v>#REF!</v>
      </c>
      <c r="AI90" s="17"/>
      <c r="AJ90" s="14"/>
      <c r="AK90" s="15"/>
    </row>
    <row r="91" spans="33:37" ht="24.95" customHeight="1">
      <c r="AG91" s="10"/>
      <c r="AH91" s="20" t="e">
        <f>#REF!</f>
        <v>#REF!</v>
      </c>
      <c r="AI91" s="17"/>
      <c r="AJ91" s="14"/>
      <c r="AK91" s="15"/>
    </row>
    <row r="92" spans="33:37" ht="24.95" customHeight="1">
      <c r="AG92" s="10"/>
      <c r="AH92" s="20" t="e">
        <f>#REF!</f>
        <v>#REF!</v>
      </c>
      <c r="AI92" s="17"/>
      <c r="AJ92" s="14"/>
      <c r="AK92" s="15"/>
    </row>
    <row r="93" spans="33:37" ht="24.95" customHeight="1">
      <c r="AG93" s="10"/>
      <c r="AH93" s="20" t="e">
        <f>#REF!</f>
        <v>#REF!</v>
      </c>
      <c r="AI93" s="17"/>
      <c r="AJ93" s="14"/>
      <c r="AK93" s="15"/>
    </row>
    <row r="94" spans="33:37" ht="24.95" customHeight="1">
      <c r="AG94" s="10"/>
      <c r="AH94" s="20" t="e">
        <f>#REF!</f>
        <v>#REF!</v>
      </c>
      <c r="AI94" s="17"/>
      <c r="AJ94" s="14"/>
      <c r="AK94" s="15"/>
    </row>
    <row r="95" spans="33:37" ht="24.95" customHeight="1">
      <c r="AG95" s="10"/>
      <c r="AH95" s="20" t="e">
        <f>#REF!</f>
        <v>#REF!</v>
      </c>
      <c r="AI95" s="17"/>
      <c r="AJ95" s="14"/>
      <c r="AK95" s="15"/>
    </row>
    <row r="96" spans="33:37" ht="24.95" customHeight="1">
      <c r="AG96" s="10"/>
      <c r="AH96" s="20" t="e">
        <f>#REF!</f>
        <v>#REF!</v>
      </c>
      <c r="AI96" s="17"/>
      <c r="AJ96" s="14"/>
      <c r="AK96" s="15"/>
    </row>
    <row r="97" spans="33:37" ht="24.95" customHeight="1">
      <c r="AG97" s="10"/>
      <c r="AH97" s="20" t="e">
        <f>#REF!</f>
        <v>#REF!</v>
      </c>
      <c r="AI97" s="17"/>
      <c r="AJ97" s="14"/>
      <c r="AK97" s="15"/>
    </row>
    <row r="98" spans="33:37" ht="24.95" customHeight="1">
      <c r="AG98" s="10"/>
      <c r="AH98" s="20" t="e">
        <f>#REF!</f>
        <v>#REF!</v>
      </c>
      <c r="AI98" s="17"/>
      <c r="AJ98" s="14"/>
      <c r="AK98" s="15"/>
    </row>
    <row r="99" spans="33:37" ht="24.95" customHeight="1">
      <c r="AG99" s="10"/>
      <c r="AH99" s="20" t="e">
        <f>#REF!</f>
        <v>#REF!</v>
      </c>
      <c r="AI99" s="17"/>
      <c r="AJ99" s="14"/>
      <c r="AK99" s="15"/>
    </row>
    <row r="100" spans="33:37" ht="24.95" customHeight="1">
      <c r="AG100" s="10"/>
      <c r="AH100" s="25" t="e">
        <f>#REF!</f>
        <v>#REF!</v>
      </c>
      <c r="AI100" s="24"/>
      <c r="AJ100" s="14"/>
      <c r="AK100" s="15"/>
    </row>
    <row r="101" spans="33:37" ht="24" customHeight="1">
      <c r="AG101" s="10"/>
      <c r="AH101" s="25" t="e">
        <f>#REF!</f>
        <v>#REF!</v>
      </c>
    </row>
    <row r="102" spans="33:37">
      <c r="AG102" s="10"/>
      <c r="AH102" s="25" t="e">
        <f>#REF!</f>
        <v>#REF!</v>
      </c>
    </row>
    <row r="103" spans="33:37">
      <c r="AH103" s="25" t="e">
        <f>#REF!</f>
        <v>#REF!</v>
      </c>
    </row>
    <row r="104" spans="33:37">
      <c r="AH104" s="25" t="e">
        <f>#REF!</f>
        <v>#REF!</v>
      </c>
    </row>
  </sheetData>
  <sheetProtection algorithmName="SHA-512" hashValue="Wf2rWNhxdGCw0/qKa+ruRY1jsuhshWBpg/3K2LLOme+CdXSWYID2cCC7l9WQQo/gxnW9Hb8OF/S+3JWhg3Kv+Q==" saltValue="v+sbrIiuD/BP60eobb4/Lg==" spinCount="100000" sheet="1" objects="1" scenarios="1"/>
  <protectedRanges>
    <protectedRange sqref="N18:N19" name="製品製造"/>
  </protectedRanges>
  <mergeCells count="54">
    <mergeCell ref="Z29:AA29"/>
    <mergeCell ref="G33:I33"/>
    <mergeCell ref="G34:I34"/>
    <mergeCell ref="C33:F33"/>
    <mergeCell ref="C34:F34"/>
    <mergeCell ref="C29:F29"/>
    <mergeCell ref="G29:I29"/>
    <mergeCell ref="C6:E6"/>
    <mergeCell ref="F6:G6"/>
    <mergeCell ref="H6:J6"/>
    <mergeCell ref="K6:L6"/>
    <mergeCell ref="M6:N6"/>
    <mergeCell ref="C7:E7"/>
    <mergeCell ref="F7:G7"/>
    <mergeCell ref="H7:J7"/>
    <mergeCell ref="K7:L7"/>
    <mergeCell ref="M7:N7"/>
    <mergeCell ref="H13:J13"/>
    <mergeCell ref="C12:E12"/>
    <mergeCell ref="F12:G12"/>
    <mergeCell ref="C8:E8"/>
    <mergeCell ref="F8:G8"/>
    <mergeCell ref="C10:E10"/>
    <mergeCell ref="F10:G10"/>
    <mergeCell ref="H10:J10"/>
    <mergeCell ref="C9:E9"/>
    <mergeCell ref="F9:G9"/>
    <mergeCell ref="H9:J9"/>
    <mergeCell ref="G24:I24"/>
    <mergeCell ref="M11:N11"/>
    <mergeCell ref="C11:E11"/>
    <mergeCell ref="F11:G11"/>
    <mergeCell ref="H11:J11"/>
    <mergeCell ref="K11:L11"/>
    <mergeCell ref="K13:L13"/>
    <mergeCell ref="M13:N13"/>
    <mergeCell ref="C17:E17"/>
    <mergeCell ref="C18:E18"/>
    <mergeCell ref="C19:E19"/>
    <mergeCell ref="C20:E20"/>
    <mergeCell ref="C24:F24"/>
    <mergeCell ref="H12:J12"/>
    <mergeCell ref="C13:E13"/>
    <mergeCell ref="F13:G13"/>
    <mergeCell ref="K2:N2"/>
    <mergeCell ref="K12:L12"/>
    <mergeCell ref="M12:N12"/>
    <mergeCell ref="H8:J8"/>
    <mergeCell ref="K8:L8"/>
    <mergeCell ref="M8:N8"/>
    <mergeCell ref="K10:L10"/>
    <mergeCell ref="M10:N10"/>
    <mergeCell ref="K9:L9"/>
    <mergeCell ref="M9:N9"/>
  </mergeCells>
  <phoneticPr fontId="4"/>
  <pageMargins left="0.70866141732283472" right="0.31496062992125984" top="0.94488188976377963" bottom="0.94488188976377963" header="0.31496062992125984" footer="0.51181102362204722"/>
  <pageSetup paperSize="9" scale="58" orientation="portrait" r:id="rId1"/>
  <headerFooter>
    <oddFooter>&amp;R&amp;14R5（補正）プラ&amp;18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election activeCell="G29" sqref="G29"/>
    </sheetView>
  </sheetViews>
  <sheetFormatPr defaultRowHeight="13.5"/>
  <cols>
    <col min="1" max="1" width="9" style="26"/>
    <col min="2" max="2" width="3.875" style="26" customWidth="1"/>
    <col min="3" max="3" width="24.5" style="26" customWidth="1"/>
    <col min="4" max="4" width="4.25" style="26" customWidth="1"/>
    <col min="5" max="5" width="11.875" style="26" customWidth="1"/>
    <col min="6" max="6" width="13" style="26" customWidth="1"/>
    <col min="7" max="7" width="11.375" style="26" customWidth="1"/>
    <col min="8" max="8" width="8.25" style="26" customWidth="1"/>
    <col min="9" max="9" width="9.625" style="26" customWidth="1"/>
    <col min="10" max="11" width="10.5" style="26" customWidth="1"/>
    <col min="12" max="12" width="7.125" style="26" customWidth="1"/>
    <col min="13" max="13" width="4.125" style="28" customWidth="1"/>
    <col min="14" max="17" width="9" style="26" customWidth="1"/>
    <col min="18" max="16384" width="9" style="26"/>
  </cols>
  <sheetData>
    <row r="1" spans="2:16" ht="18.75">
      <c r="B1" s="206" t="s">
        <v>226</v>
      </c>
      <c r="K1" s="216">
        <f>入出力データ!D29</f>
        <v>0.441</v>
      </c>
      <c r="L1" s="27"/>
      <c r="N1" s="29"/>
      <c r="O1" s="30"/>
    </row>
    <row r="2" spans="2:16">
      <c r="N2" s="31"/>
      <c r="O2" s="31"/>
    </row>
    <row r="3" spans="2:16">
      <c r="C3" s="179" t="s">
        <v>31</v>
      </c>
      <c r="E3" s="708" t="s">
        <v>46</v>
      </c>
      <c r="F3" s="709"/>
      <c r="G3" s="709"/>
      <c r="H3" s="709"/>
      <c r="I3" s="709"/>
      <c r="J3" s="709"/>
      <c r="N3" s="31"/>
      <c r="O3" s="31"/>
    </row>
    <row r="4" spans="2:16" ht="40.5">
      <c r="B4" s="205" t="s">
        <v>40</v>
      </c>
      <c r="C4" s="710" t="s">
        <v>47</v>
      </c>
      <c r="D4" s="711"/>
      <c r="E4" s="203" t="s">
        <v>48</v>
      </c>
      <c r="F4" s="203" t="s">
        <v>49</v>
      </c>
      <c r="G4" s="203" t="s">
        <v>50</v>
      </c>
      <c r="H4" s="203" t="s">
        <v>51</v>
      </c>
      <c r="I4" s="49" t="s">
        <v>52</v>
      </c>
      <c r="J4" s="49" t="s">
        <v>53</v>
      </c>
      <c r="K4" s="203" t="s">
        <v>54</v>
      </c>
      <c r="L4" s="213"/>
      <c r="N4" s="204" t="s">
        <v>55</v>
      </c>
      <c r="P4" s="203" t="s">
        <v>56</v>
      </c>
    </row>
    <row r="5" spans="2:16">
      <c r="B5" s="33" t="str">
        <f>IF(入力シート!C17="","",入力シート!C17)</f>
        <v/>
      </c>
      <c r="C5" s="705" t="str">
        <f>IF(入力シート!D17="","",入力シート!D17)</f>
        <v/>
      </c>
      <c r="D5" s="706"/>
      <c r="E5" s="200" t="str">
        <f>IF(入力シート!E17="","",入力シート!E17)</f>
        <v/>
      </c>
      <c r="F5" s="200" t="str">
        <f>IF(入力シート!F17="","",入力シート!F17)</f>
        <v/>
      </c>
      <c r="G5" s="199" t="str">
        <f>IF(入力シート!G17="","",入力シート!G17)</f>
        <v/>
      </c>
      <c r="H5" s="33" t="str">
        <f>IF(入力シート!H17="","",入力シート!H17)</f>
        <v/>
      </c>
      <c r="I5" s="33" t="str">
        <f>IF(入力シート!I17="","",入力シート!I17)</f>
        <v/>
      </c>
      <c r="J5" s="198" t="str">
        <f t="shared" ref="J5:J14" si="0">IFERROR(IF(AND(I5&gt;0,I5&lt;=1),INT(N5*I5),INT(N5)),"")</f>
        <v/>
      </c>
      <c r="K5" s="190" t="str">
        <f t="shared" ref="K5:K14" si="1">IFERROR(ROUNDDOWN(J5*$K$18/1000,3),"")</f>
        <v/>
      </c>
      <c r="L5" s="214"/>
      <c r="N5" s="196" t="str">
        <f t="shared" ref="N5:N14" si="2">IFERROR(IF(H5="○",(0.0564*EXP(2.7518*F5/E5))*G5/F5,(0.4138*(F5/E5)+0.4307)*G5/F5),"")</f>
        <v/>
      </c>
      <c r="O5" s="201">
        <v>1</v>
      </c>
      <c r="P5" s="202">
        <f>SUMIF(B$5:B$14,O5,K$5:K$14)</f>
        <v>0</v>
      </c>
    </row>
    <row r="6" spans="2:16">
      <c r="B6" s="33" t="str">
        <f>IF(入力シート!C18="","",入力シート!C18)</f>
        <v/>
      </c>
      <c r="C6" s="705" t="str">
        <f>IF(入力シート!D18="","",入力シート!D18)</f>
        <v/>
      </c>
      <c r="D6" s="706"/>
      <c r="E6" s="200" t="str">
        <f>IF(入力シート!E18="","",入力シート!E18)</f>
        <v/>
      </c>
      <c r="F6" s="200" t="str">
        <f>IF(入力シート!F18="","",入力シート!F18)</f>
        <v/>
      </c>
      <c r="G6" s="199" t="str">
        <f>IF(入力シート!G18="","",入力シート!G18)</f>
        <v/>
      </c>
      <c r="H6" s="33" t="str">
        <f>IF(入力シート!H18="","",入力シート!H18)</f>
        <v/>
      </c>
      <c r="I6" s="33" t="str">
        <f>IF(入力シート!I18="","",入力シート!I18)</f>
        <v/>
      </c>
      <c r="J6" s="198" t="str">
        <f t="shared" si="0"/>
        <v/>
      </c>
      <c r="K6" s="190" t="str">
        <f t="shared" si="1"/>
        <v/>
      </c>
      <c r="L6" s="214"/>
      <c r="N6" s="196" t="str">
        <f t="shared" si="2"/>
        <v/>
      </c>
      <c r="O6" s="201">
        <v>2</v>
      </c>
      <c r="P6" s="202">
        <f t="shared" ref="P6:P10" si="3">SUMIF(B$5:B$14,O6,K$5:K$14)</f>
        <v>0</v>
      </c>
    </row>
    <row r="7" spans="2:16">
      <c r="B7" s="33" t="str">
        <f>IF(入力シート!C19="","",入力シート!C19)</f>
        <v/>
      </c>
      <c r="C7" s="705" t="str">
        <f>IF(入力シート!D19="","",入力シート!D19)</f>
        <v/>
      </c>
      <c r="D7" s="706"/>
      <c r="E7" s="200" t="str">
        <f>IF(入力シート!E19="","",入力シート!E19)</f>
        <v/>
      </c>
      <c r="F7" s="200" t="str">
        <f>IF(入力シート!F19="","",入力シート!F19)</f>
        <v/>
      </c>
      <c r="G7" s="199" t="str">
        <f>IF(入力シート!G19="","",入力シート!G19)</f>
        <v/>
      </c>
      <c r="H7" s="33" t="str">
        <f>IF(入力シート!H19="","",入力シート!H19)</f>
        <v/>
      </c>
      <c r="I7" s="33" t="str">
        <f>IF(入力シート!I19="","",入力シート!I19)</f>
        <v/>
      </c>
      <c r="J7" s="198" t="str">
        <f t="shared" si="0"/>
        <v/>
      </c>
      <c r="K7" s="190" t="str">
        <f t="shared" si="1"/>
        <v/>
      </c>
      <c r="L7" s="214"/>
      <c r="N7" s="196" t="str">
        <f t="shared" si="2"/>
        <v/>
      </c>
      <c r="O7" s="201">
        <v>3</v>
      </c>
      <c r="P7" s="202">
        <f t="shared" si="3"/>
        <v>0</v>
      </c>
    </row>
    <row r="8" spans="2:16">
      <c r="B8" s="33" t="str">
        <f>IF(入力シート!C20="","",入力シート!C20)</f>
        <v/>
      </c>
      <c r="C8" s="705" t="str">
        <f>IF(入力シート!D20="","",入力シート!D20)</f>
        <v/>
      </c>
      <c r="D8" s="706"/>
      <c r="E8" s="200" t="str">
        <f>IF(入力シート!E20="","",入力シート!E20)</f>
        <v/>
      </c>
      <c r="F8" s="200" t="str">
        <f>IF(入力シート!F20="","",入力シート!F20)</f>
        <v/>
      </c>
      <c r="G8" s="199" t="str">
        <f>IF(入力シート!G20="","",入力シート!G20)</f>
        <v/>
      </c>
      <c r="H8" s="33" t="str">
        <f>IF(入力シート!H20="","",入力シート!H20)</f>
        <v/>
      </c>
      <c r="I8" s="33" t="str">
        <f>IF(入力シート!I20="","",入力シート!I20)</f>
        <v/>
      </c>
      <c r="J8" s="198" t="str">
        <f t="shared" si="0"/>
        <v/>
      </c>
      <c r="K8" s="190" t="str">
        <f t="shared" si="1"/>
        <v/>
      </c>
      <c r="L8" s="214"/>
      <c r="N8" s="196" t="str">
        <f t="shared" si="2"/>
        <v/>
      </c>
      <c r="O8" s="201">
        <v>4</v>
      </c>
      <c r="P8" s="202">
        <f t="shared" si="3"/>
        <v>0</v>
      </c>
    </row>
    <row r="9" spans="2:16">
      <c r="B9" s="33" t="str">
        <f>IF(入力シート!C21="","",入力シート!C21)</f>
        <v/>
      </c>
      <c r="C9" s="705" t="str">
        <f>IF(入力シート!D21="","",入力シート!D21)</f>
        <v/>
      </c>
      <c r="D9" s="706"/>
      <c r="E9" s="200" t="str">
        <f>IF(入力シート!E21="","",入力シート!E21)</f>
        <v/>
      </c>
      <c r="F9" s="200" t="str">
        <f>IF(入力シート!F21="","",入力シート!F21)</f>
        <v/>
      </c>
      <c r="G9" s="199" t="str">
        <f>IF(入力シート!G21="","",入力シート!G21)</f>
        <v/>
      </c>
      <c r="H9" s="33" t="str">
        <f>IF(入力シート!H21="","",入力シート!H21)</f>
        <v/>
      </c>
      <c r="I9" s="33" t="str">
        <f>IF(入力シート!I21="","",入力シート!I21)</f>
        <v/>
      </c>
      <c r="J9" s="198" t="str">
        <f t="shared" si="0"/>
        <v/>
      </c>
      <c r="K9" s="190" t="str">
        <f t="shared" si="1"/>
        <v/>
      </c>
      <c r="L9" s="214"/>
      <c r="N9" s="196" t="str">
        <f t="shared" si="2"/>
        <v/>
      </c>
      <c r="O9" s="201">
        <v>5</v>
      </c>
      <c r="P9" s="202">
        <f t="shared" si="3"/>
        <v>0</v>
      </c>
    </row>
    <row r="10" spans="2:16">
      <c r="B10" s="33" t="str">
        <f>IF(入力シート!C22="","",入力シート!C22)</f>
        <v/>
      </c>
      <c r="C10" s="705" t="str">
        <f>IF(入力シート!D22="","",入力シート!D22)</f>
        <v/>
      </c>
      <c r="D10" s="706"/>
      <c r="E10" s="200" t="str">
        <f>IF(入力シート!E22="","",入力シート!E22)</f>
        <v/>
      </c>
      <c r="F10" s="200" t="str">
        <f>IF(入力シート!F22="","",入力シート!F22)</f>
        <v/>
      </c>
      <c r="G10" s="199" t="str">
        <f>IF(入力シート!G22="","",入力シート!G22)</f>
        <v/>
      </c>
      <c r="H10" s="33" t="str">
        <f>IF(入力シート!H22="","",入力シート!H22)</f>
        <v/>
      </c>
      <c r="I10" s="33" t="str">
        <f>IF(入力シート!I22="","",入力シート!I22)</f>
        <v/>
      </c>
      <c r="J10" s="198" t="str">
        <f t="shared" si="0"/>
        <v/>
      </c>
      <c r="K10" s="197" t="str">
        <f t="shared" si="1"/>
        <v/>
      </c>
      <c r="L10" s="215"/>
      <c r="N10" s="196" t="str">
        <f t="shared" si="2"/>
        <v/>
      </c>
      <c r="O10" s="201">
        <v>6</v>
      </c>
      <c r="P10" s="202">
        <f t="shared" si="3"/>
        <v>0</v>
      </c>
    </row>
    <row r="11" spans="2:16">
      <c r="B11" s="33" t="str">
        <f>IF(入力シート!C23="","",入力シート!C23)</f>
        <v/>
      </c>
      <c r="C11" s="705" t="str">
        <f>IF(入力シート!D23="","",入力シート!D23)</f>
        <v/>
      </c>
      <c r="D11" s="706"/>
      <c r="E11" s="200" t="str">
        <f>IF(入力シート!E23="","",入力シート!E23)</f>
        <v/>
      </c>
      <c r="F11" s="200" t="str">
        <f>IF(入力シート!F23="","",入力シート!F23)</f>
        <v/>
      </c>
      <c r="G11" s="199" t="str">
        <f>IF(入力シート!G23="","",入力シート!G23)</f>
        <v/>
      </c>
      <c r="H11" s="33" t="str">
        <f>IF(入力シート!H23="","",入力シート!H23)</f>
        <v/>
      </c>
      <c r="I11" s="33" t="str">
        <f>IF(入力シート!I23="","",入力シート!I23)</f>
        <v/>
      </c>
      <c r="J11" s="198" t="str">
        <f t="shared" si="0"/>
        <v/>
      </c>
      <c r="K11" s="197" t="str">
        <f t="shared" si="1"/>
        <v/>
      </c>
      <c r="L11" s="215"/>
      <c r="N11" s="196" t="str">
        <f t="shared" si="2"/>
        <v/>
      </c>
    </row>
    <row r="12" spans="2:16">
      <c r="B12" s="33" t="str">
        <f>IF(入力シート!C24="","",入力シート!C24)</f>
        <v/>
      </c>
      <c r="C12" s="705" t="str">
        <f>IF(入力シート!D24="","",入力シート!D24)</f>
        <v/>
      </c>
      <c r="D12" s="706"/>
      <c r="E12" s="200" t="str">
        <f>IF(入力シート!E24="","",入力シート!E24)</f>
        <v/>
      </c>
      <c r="F12" s="200" t="str">
        <f>IF(入力シート!F24="","",入力シート!F24)</f>
        <v/>
      </c>
      <c r="G12" s="199" t="str">
        <f>IF(入力シート!G24="","",入力シート!G24)</f>
        <v/>
      </c>
      <c r="H12" s="33" t="str">
        <f>IF(入力シート!H24="","",入力シート!H24)</f>
        <v/>
      </c>
      <c r="I12" s="33" t="str">
        <f>IF(入力シート!I24="","",入力シート!I24)</f>
        <v/>
      </c>
      <c r="J12" s="198" t="str">
        <f t="shared" si="0"/>
        <v/>
      </c>
      <c r="K12" s="197" t="str">
        <f t="shared" si="1"/>
        <v/>
      </c>
      <c r="L12" s="215"/>
      <c r="N12" s="196" t="str">
        <f t="shared" si="2"/>
        <v/>
      </c>
    </row>
    <row r="13" spans="2:16">
      <c r="B13" s="33" t="str">
        <f>IF(入力シート!C25="","",入力シート!C25)</f>
        <v/>
      </c>
      <c r="C13" s="705" t="str">
        <f>IF(入力シート!D25="","",入力シート!D25)</f>
        <v/>
      </c>
      <c r="D13" s="706"/>
      <c r="E13" s="200" t="str">
        <f>IF(入力シート!E25="","",入力シート!E25)</f>
        <v/>
      </c>
      <c r="F13" s="200" t="str">
        <f>IF(入力シート!F25="","",入力シート!F25)</f>
        <v/>
      </c>
      <c r="G13" s="199" t="str">
        <f>IF(入力シート!G25="","",入力シート!G25)</f>
        <v/>
      </c>
      <c r="H13" s="33" t="str">
        <f>IF(入力シート!H25="","",入力シート!H25)</f>
        <v/>
      </c>
      <c r="I13" s="33" t="str">
        <f>IF(入力シート!I25="","",入力シート!I25)</f>
        <v/>
      </c>
      <c r="J13" s="198" t="str">
        <f t="shared" si="0"/>
        <v/>
      </c>
      <c r="K13" s="197" t="str">
        <f t="shared" si="1"/>
        <v/>
      </c>
      <c r="L13" s="215"/>
      <c r="N13" s="196" t="str">
        <f t="shared" si="2"/>
        <v/>
      </c>
    </row>
    <row r="14" spans="2:16">
      <c r="B14" s="33" t="str">
        <f>IF(入力シート!C26="","",入力シート!C26)</f>
        <v/>
      </c>
      <c r="C14" s="705" t="str">
        <f>IF(入力シート!D26="","",入力シート!D26)</f>
        <v/>
      </c>
      <c r="D14" s="706"/>
      <c r="E14" s="200" t="str">
        <f>IF(入力シート!E26="","",入力シート!E26)</f>
        <v/>
      </c>
      <c r="F14" s="200" t="str">
        <f>IF(入力シート!F26="","",入力シート!F26)</f>
        <v/>
      </c>
      <c r="G14" s="199" t="str">
        <f>IF(入力シート!G26="","",入力シート!G26)</f>
        <v/>
      </c>
      <c r="H14" s="33" t="str">
        <f>IF(入力シート!H26="","",入力シート!H26)</f>
        <v/>
      </c>
      <c r="I14" s="33" t="str">
        <f>IF(入力シート!I26="","",入力シート!I26)</f>
        <v/>
      </c>
      <c r="J14" s="198" t="str">
        <f t="shared" si="0"/>
        <v/>
      </c>
      <c r="K14" s="197" t="str">
        <f t="shared" si="1"/>
        <v/>
      </c>
      <c r="L14" s="215"/>
      <c r="N14" s="196" t="str">
        <f t="shared" si="2"/>
        <v/>
      </c>
    </row>
    <row r="15" spans="2:16">
      <c r="B15" s="707" t="s">
        <v>57</v>
      </c>
      <c r="C15" s="707"/>
      <c r="D15" s="707"/>
      <c r="E15" s="195"/>
      <c r="F15" s="194"/>
      <c r="G15" s="194"/>
      <c r="H15" s="193"/>
      <c r="I15" s="192"/>
      <c r="J15" s="191">
        <f>+SUM(J5:J14)</f>
        <v>0</v>
      </c>
      <c r="K15" s="190">
        <f>+SUM(K5:K14)</f>
        <v>0</v>
      </c>
      <c r="L15" s="214"/>
    </row>
    <row r="16" spans="2:16">
      <c r="J16" s="26" t="str">
        <f>"※排出係数＝"&amp;K1&amp;"㎏-CO2/kWh"</f>
        <v>※排出係数＝0.441㎏-CO2/kWh</v>
      </c>
    </row>
    <row r="18" spans="2:16" ht="18.75">
      <c r="B18" s="206"/>
      <c r="K18" s="216">
        <f>K1</f>
        <v>0.441</v>
      </c>
      <c r="L18" s="27"/>
      <c r="N18" s="29"/>
      <c r="O18" s="30"/>
    </row>
    <row r="19" spans="2:16">
      <c r="N19" s="31"/>
      <c r="O19" s="31"/>
    </row>
    <row r="20" spans="2:16">
      <c r="C20" s="179" t="s">
        <v>44</v>
      </c>
      <c r="E20" s="708" t="s">
        <v>46</v>
      </c>
      <c r="F20" s="709"/>
      <c r="G20" s="709"/>
      <c r="H20" s="709"/>
      <c r="I20" s="709"/>
      <c r="J20" s="709"/>
      <c r="N20" s="31"/>
      <c r="O20" s="31"/>
    </row>
    <row r="21" spans="2:16" ht="40.5">
      <c r="B21" s="205" t="s">
        <v>40</v>
      </c>
      <c r="C21" s="710" t="s">
        <v>47</v>
      </c>
      <c r="D21" s="711"/>
      <c r="E21" s="203" t="s">
        <v>48</v>
      </c>
      <c r="F21" s="203" t="s">
        <v>49</v>
      </c>
      <c r="G21" s="203" t="s">
        <v>50</v>
      </c>
      <c r="H21" s="203" t="s">
        <v>51</v>
      </c>
      <c r="I21" s="49" t="s">
        <v>52</v>
      </c>
      <c r="J21" s="49" t="s">
        <v>53</v>
      </c>
      <c r="K21" s="203" t="s">
        <v>54</v>
      </c>
      <c r="L21" s="213"/>
      <c r="N21" s="204" t="s">
        <v>55</v>
      </c>
      <c r="P21" s="203" t="s">
        <v>56</v>
      </c>
    </row>
    <row r="22" spans="2:16">
      <c r="B22" s="33" t="str">
        <f>IF(入力シート!C44="","",入力シート!C44)</f>
        <v/>
      </c>
      <c r="C22" s="705" t="str">
        <f>IF(入力シート!D44="","",入力シート!D44)</f>
        <v/>
      </c>
      <c r="D22" s="706"/>
      <c r="E22" s="200" t="str">
        <f>IF(入力シート!E44="","",入力シート!E44)</f>
        <v/>
      </c>
      <c r="F22" s="200" t="str">
        <f>IF(入力シート!F44="","",入力シート!F44)</f>
        <v/>
      </c>
      <c r="G22" s="199" t="str">
        <f>IF(入力シート!G44="","",入力シート!G44)</f>
        <v/>
      </c>
      <c r="H22" s="33" t="str">
        <f>IF(入力シート!H44="","",入力シート!H44)</f>
        <v/>
      </c>
      <c r="I22" s="33" t="str">
        <f>IF(入力シート!I44="","",入力シート!I44)</f>
        <v/>
      </c>
      <c r="J22" s="198" t="str">
        <f t="shared" ref="J22:J31" si="4">IFERROR(IF(AND(I22&gt;0,I22&lt;=1),INT(N22*I22),INT(N22)),"")</f>
        <v/>
      </c>
      <c r="K22" s="190" t="str">
        <f t="shared" ref="K22:K31" si="5">IFERROR(ROUNDDOWN(J22*$K$18/1000,3),"")</f>
        <v/>
      </c>
      <c r="L22" s="214"/>
      <c r="N22" s="196" t="str">
        <f t="shared" ref="N22:N31" si="6">IFERROR(IF(H22="○",(0.0564*EXP(2.7518*F22/E22))*G22/F22,(0.4138*(F22/E22)+0.4307)*G22/F22),"")</f>
        <v/>
      </c>
      <c r="O22" s="201">
        <v>1</v>
      </c>
      <c r="P22" s="202">
        <f>SUMIF(B$22:B$31,O22,K$22:K$31)</f>
        <v>0</v>
      </c>
    </row>
    <row r="23" spans="2:16">
      <c r="B23" s="33" t="str">
        <f>IF(入力シート!C45="","",入力シート!C45)</f>
        <v/>
      </c>
      <c r="C23" s="705" t="str">
        <f>IF(入力シート!D45="","",入力シート!D45)</f>
        <v/>
      </c>
      <c r="D23" s="706"/>
      <c r="E23" s="200" t="str">
        <f>IF(入力シート!E45="","",入力シート!E45)</f>
        <v/>
      </c>
      <c r="F23" s="200" t="str">
        <f>IF(入力シート!F45="","",入力シート!F45)</f>
        <v/>
      </c>
      <c r="G23" s="199" t="str">
        <f>IF(入力シート!G45="","",入力シート!G45)</f>
        <v/>
      </c>
      <c r="H23" s="33" t="str">
        <f>IF(入力シート!H45="","",入力シート!H45)</f>
        <v/>
      </c>
      <c r="I23" s="33" t="str">
        <f>IF(入力シート!I45="","",入力シート!I45)</f>
        <v/>
      </c>
      <c r="J23" s="198" t="str">
        <f t="shared" si="4"/>
        <v/>
      </c>
      <c r="K23" s="190" t="str">
        <f t="shared" si="5"/>
        <v/>
      </c>
      <c r="L23" s="214"/>
      <c r="N23" s="196" t="str">
        <f t="shared" si="6"/>
        <v/>
      </c>
      <c r="O23" s="201">
        <v>2</v>
      </c>
      <c r="P23" s="202">
        <f t="shared" ref="P23:P27" si="7">SUMIF(B$22:B$31,O23,K$22:K$31)</f>
        <v>0</v>
      </c>
    </row>
    <row r="24" spans="2:16">
      <c r="B24" s="33" t="str">
        <f>IF(入力シート!C46="","",入力シート!C46)</f>
        <v/>
      </c>
      <c r="C24" s="705" t="str">
        <f>IF(入力シート!D46="","",入力シート!D46)</f>
        <v/>
      </c>
      <c r="D24" s="706"/>
      <c r="E24" s="200" t="str">
        <f>IF(入力シート!E46="","",入力シート!E46)</f>
        <v/>
      </c>
      <c r="F24" s="200" t="str">
        <f>IF(入力シート!F46="","",入力シート!F46)</f>
        <v/>
      </c>
      <c r="G24" s="199" t="str">
        <f>IF(入力シート!G46="","",入力シート!G46)</f>
        <v/>
      </c>
      <c r="H24" s="33" t="str">
        <f>IF(入力シート!H46="","",入力シート!H46)</f>
        <v/>
      </c>
      <c r="I24" s="33" t="str">
        <f>IF(入力シート!I46="","",入力シート!I46)</f>
        <v/>
      </c>
      <c r="J24" s="198" t="str">
        <f t="shared" si="4"/>
        <v/>
      </c>
      <c r="K24" s="190" t="str">
        <f t="shared" si="5"/>
        <v/>
      </c>
      <c r="L24" s="214"/>
      <c r="N24" s="196" t="str">
        <f t="shared" si="6"/>
        <v/>
      </c>
      <c r="O24" s="201">
        <v>3</v>
      </c>
      <c r="P24" s="202">
        <f t="shared" si="7"/>
        <v>0</v>
      </c>
    </row>
    <row r="25" spans="2:16">
      <c r="B25" s="33" t="str">
        <f>IF(入力シート!C47="","",入力シート!C47)</f>
        <v/>
      </c>
      <c r="C25" s="705" t="str">
        <f>IF(入力シート!D47="","",入力シート!D47)</f>
        <v/>
      </c>
      <c r="D25" s="706"/>
      <c r="E25" s="200" t="str">
        <f>IF(入力シート!E47="","",入力シート!E47)</f>
        <v/>
      </c>
      <c r="F25" s="200" t="str">
        <f>IF(入力シート!F47="","",入力シート!F47)</f>
        <v/>
      </c>
      <c r="G25" s="199" t="str">
        <f>IF(入力シート!G47="","",入力シート!G47)</f>
        <v/>
      </c>
      <c r="H25" s="33" t="str">
        <f>IF(入力シート!H47="","",入力シート!H47)</f>
        <v/>
      </c>
      <c r="I25" s="33" t="str">
        <f>IF(入力シート!I47="","",入力シート!I47)</f>
        <v/>
      </c>
      <c r="J25" s="198" t="str">
        <f t="shared" si="4"/>
        <v/>
      </c>
      <c r="K25" s="190" t="str">
        <f t="shared" si="5"/>
        <v/>
      </c>
      <c r="L25" s="214"/>
      <c r="N25" s="196" t="str">
        <f t="shared" si="6"/>
        <v/>
      </c>
      <c r="O25" s="201">
        <v>4</v>
      </c>
      <c r="P25" s="202">
        <f t="shared" si="7"/>
        <v>0</v>
      </c>
    </row>
    <row r="26" spans="2:16">
      <c r="B26" s="33" t="str">
        <f>IF(入力シート!C48="","",入力シート!C48)</f>
        <v/>
      </c>
      <c r="C26" s="705" t="str">
        <f>IF(入力シート!D48="","",入力シート!D48)</f>
        <v/>
      </c>
      <c r="D26" s="706"/>
      <c r="E26" s="200" t="str">
        <f>IF(入力シート!E48="","",入力シート!E48)</f>
        <v/>
      </c>
      <c r="F26" s="200" t="str">
        <f>IF(入力シート!F48="","",入力シート!F48)</f>
        <v/>
      </c>
      <c r="G26" s="199" t="str">
        <f>IF(入力シート!G48="","",入力シート!G48)</f>
        <v/>
      </c>
      <c r="H26" s="33" t="str">
        <f>IF(入力シート!H48="","",入力シート!H48)</f>
        <v/>
      </c>
      <c r="I26" s="33" t="str">
        <f>IF(入力シート!I48="","",入力シート!I48)</f>
        <v/>
      </c>
      <c r="J26" s="198" t="str">
        <f t="shared" si="4"/>
        <v/>
      </c>
      <c r="K26" s="190" t="str">
        <f t="shared" si="5"/>
        <v/>
      </c>
      <c r="L26" s="214"/>
      <c r="N26" s="196" t="str">
        <f t="shared" si="6"/>
        <v/>
      </c>
      <c r="O26" s="201">
        <v>5</v>
      </c>
      <c r="P26" s="202">
        <f t="shared" si="7"/>
        <v>0</v>
      </c>
    </row>
    <row r="27" spans="2:16">
      <c r="B27" s="33" t="str">
        <f>IF(入力シート!C49="","",入力シート!C49)</f>
        <v/>
      </c>
      <c r="C27" s="705" t="str">
        <f>IF(入力シート!D49="","",入力シート!D49)</f>
        <v/>
      </c>
      <c r="D27" s="706"/>
      <c r="E27" s="200" t="str">
        <f>IF(入力シート!E49="","",入力シート!E49)</f>
        <v/>
      </c>
      <c r="F27" s="200" t="str">
        <f>IF(入力シート!F49="","",入力シート!F49)</f>
        <v/>
      </c>
      <c r="G27" s="199" t="str">
        <f>IF(入力シート!G49="","",入力シート!G49)</f>
        <v/>
      </c>
      <c r="H27" s="33" t="str">
        <f>IF(入力シート!H49="","",入力シート!H49)</f>
        <v/>
      </c>
      <c r="I27" s="33" t="str">
        <f>IF(入力シート!I49="","",入力シート!I49)</f>
        <v/>
      </c>
      <c r="J27" s="198" t="str">
        <f t="shared" si="4"/>
        <v/>
      </c>
      <c r="K27" s="190" t="str">
        <f t="shared" si="5"/>
        <v/>
      </c>
      <c r="L27" s="214"/>
      <c r="N27" s="196" t="str">
        <f t="shared" si="6"/>
        <v/>
      </c>
      <c r="O27" s="201">
        <v>6</v>
      </c>
      <c r="P27" s="202">
        <f t="shared" si="7"/>
        <v>0</v>
      </c>
    </row>
    <row r="28" spans="2:16">
      <c r="B28" s="33" t="str">
        <f>IF(入力シート!C50="","",入力シート!C50)</f>
        <v/>
      </c>
      <c r="C28" s="705" t="str">
        <f>IF(入力シート!D50="","",入力シート!D50)</f>
        <v/>
      </c>
      <c r="D28" s="706"/>
      <c r="E28" s="200" t="str">
        <f>IF(入力シート!E50="","",入力シート!E50)</f>
        <v/>
      </c>
      <c r="F28" s="200" t="str">
        <f>IF(入力シート!F50="","",入力シート!F50)</f>
        <v/>
      </c>
      <c r="G28" s="199" t="str">
        <f>IF(入力シート!G50="","",入力シート!G50)</f>
        <v/>
      </c>
      <c r="H28" s="33" t="str">
        <f>IF(入力シート!H50="","",入力シート!H50)</f>
        <v/>
      </c>
      <c r="I28" s="33" t="str">
        <f>IF(入力シート!I50="","",入力シート!I50)</f>
        <v/>
      </c>
      <c r="J28" s="198" t="str">
        <f t="shared" si="4"/>
        <v/>
      </c>
      <c r="K28" s="197" t="str">
        <f t="shared" si="5"/>
        <v/>
      </c>
      <c r="L28" s="215"/>
      <c r="N28" s="196" t="str">
        <f t="shared" si="6"/>
        <v/>
      </c>
    </row>
    <row r="29" spans="2:16">
      <c r="B29" s="33" t="str">
        <f>IF(入力シート!C51="","",入力シート!C51)</f>
        <v/>
      </c>
      <c r="C29" s="705" t="str">
        <f>IF(入力シート!D51="","",入力シート!D51)</f>
        <v/>
      </c>
      <c r="D29" s="706"/>
      <c r="E29" s="200" t="str">
        <f>IF(入力シート!E51="","",入力シート!E51)</f>
        <v/>
      </c>
      <c r="F29" s="200" t="str">
        <f>IF(入力シート!F51="","",入力シート!F51)</f>
        <v/>
      </c>
      <c r="G29" s="199" t="str">
        <f>IF(入力シート!G51="","",入力シート!G51)</f>
        <v/>
      </c>
      <c r="H29" s="33" t="str">
        <f>IF(入力シート!H51="","",入力シート!H51)</f>
        <v/>
      </c>
      <c r="I29" s="33" t="str">
        <f>IF(入力シート!I51="","",入力シート!I51)</f>
        <v/>
      </c>
      <c r="J29" s="198" t="str">
        <f t="shared" si="4"/>
        <v/>
      </c>
      <c r="K29" s="197" t="str">
        <f t="shared" si="5"/>
        <v/>
      </c>
      <c r="L29" s="215"/>
      <c r="N29" s="196" t="str">
        <f t="shared" si="6"/>
        <v/>
      </c>
    </row>
    <row r="30" spans="2:16">
      <c r="B30" s="33" t="str">
        <f>IF(入力シート!C52="","",入力シート!C52)</f>
        <v/>
      </c>
      <c r="C30" s="705" t="str">
        <f>IF(入力シート!D52="","",入力シート!D52)</f>
        <v/>
      </c>
      <c r="D30" s="706"/>
      <c r="E30" s="200" t="str">
        <f>IF(入力シート!E52="","",入力シート!E52)</f>
        <v/>
      </c>
      <c r="F30" s="200" t="str">
        <f>IF(入力シート!F52="","",入力シート!F52)</f>
        <v/>
      </c>
      <c r="G30" s="199" t="str">
        <f>IF(入力シート!G52="","",入力シート!G52)</f>
        <v/>
      </c>
      <c r="H30" s="33" t="str">
        <f>IF(入力シート!H52="","",入力シート!H52)</f>
        <v/>
      </c>
      <c r="I30" s="33" t="str">
        <f>IF(入力シート!I52="","",入力シート!I52)</f>
        <v/>
      </c>
      <c r="J30" s="198" t="str">
        <f t="shared" si="4"/>
        <v/>
      </c>
      <c r="K30" s="197" t="str">
        <f t="shared" si="5"/>
        <v/>
      </c>
      <c r="L30" s="215"/>
      <c r="N30" s="196" t="str">
        <f t="shared" si="6"/>
        <v/>
      </c>
    </row>
    <row r="31" spans="2:16">
      <c r="B31" s="33" t="str">
        <f>IF(入力シート!C53="","",入力シート!C53)</f>
        <v/>
      </c>
      <c r="C31" s="705" t="str">
        <f>IF(入力シート!D53="","",入力シート!D53)</f>
        <v/>
      </c>
      <c r="D31" s="706"/>
      <c r="E31" s="200" t="str">
        <f>IF(入力シート!E53="","",入力シート!E53)</f>
        <v/>
      </c>
      <c r="F31" s="200" t="str">
        <f>IF(入力シート!F53="","",入力シート!F53)</f>
        <v/>
      </c>
      <c r="G31" s="199" t="str">
        <f>IF(入力シート!G53="","",入力シート!G53)</f>
        <v/>
      </c>
      <c r="H31" s="33" t="str">
        <f>IF(入力シート!H53="","",入力シート!H53)</f>
        <v/>
      </c>
      <c r="I31" s="33" t="str">
        <f>IF(入力シート!I53="","",入力シート!I53)</f>
        <v/>
      </c>
      <c r="J31" s="198" t="str">
        <f t="shared" si="4"/>
        <v/>
      </c>
      <c r="K31" s="197" t="str">
        <f t="shared" si="5"/>
        <v/>
      </c>
      <c r="L31" s="215"/>
      <c r="N31" s="196" t="str">
        <f t="shared" si="6"/>
        <v/>
      </c>
    </row>
    <row r="32" spans="2:16">
      <c r="B32" s="707" t="s">
        <v>57</v>
      </c>
      <c r="C32" s="707"/>
      <c r="D32" s="707"/>
      <c r="E32" s="195"/>
      <c r="F32" s="194"/>
      <c r="G32" s="194"/>
      <c r="H32" s="193"/>
      <c r="I32" s="192"/>
      <c r="J32" s="191">
        <f>+SUM(J22:J31)</f>
        <v>0</v>
      </c>
      <c r="K32" s="190">
        <f>+SUM(K22:K31)</f>
        <v>0</v>
      </c>
      <c r="L32" s="214"/>
    </row>
    <row r="33" spans="2:10">
      <c r="J33" s="26" t="str">
        <f>"※排出係数＝"&amp;K18&amp;"㎏-CO2/kWh"</f>
        <v>※排出係数＝0.441㎏-CO2/kWh</v>
      </c>
    </row>
    <row r="35" spans="2:10">
      <c r="C35" s="179" t="s">
        <v>31</v>
      </c>
    </row>
    <row r="36" spans="2:10">
      <c r="B36" s="184"/>
      <c r="C36" s="184"/>
      <c r="D36" s="184" t="s">
        <v>58</v>
      </c>
      <c r="E36" s="187" t="s">
        <v>59</v>
      </c>
      <c r="F36" s="186" t="s">
        <v>60</v>
      </c>
      <c r="G36" s="185" t="s">
        <v>229</v>
      </c>
      <c r="H36" s="184"/>
    </row>
    <row r="37" spans="2:10">
      <c r="B37" s="26" t="str">
        <f>IF(入力シート!C6="","",入力シート!C6)</f>
        <v/>
      </c>
      <c r="C37" s="26" t="str">
        <f>IF(入力シート!D6="","",入力シート!D6)</f>
        <v/>
      </c>
      <c r="E37" s="212" t="str">
        <f>IF(入力シート!G6="","",入力シート!G6)</f>
        <v/>
      </c>
      <c r="F37" s="183" t="str">
        <f>IFERROR(VLOOKUP(B37,$O$5:$P$10,2),"")</f>
        <v/>
      </c>
      <c r="G37" s="182" t="str">
        <f>IFERROR(E37*F37,"")</f>
        <v/>
      </c>
    </row>
    <row r="38" spans="2:10">
      <c r="B38" s="26" t="str">
        <f>IF(入力シート!C7="","",入力シート!C7)</f>
        <v/>
      </c>
      <c r="C38" s="26" t="str">
        <f>IF(入力シート!D7="","",入力シート!D7)</f>
        <v/>
      </c>
      <c r="E38" s="212" t="str">
        <f>IF(入力シート!G7="","",入力シート!G7)</f>
        <v/>
      </c>
      <c r="F38" s="183" t="str">
        <f t="shared" ref="F38:F42" si="8">IFERROR(VLOOKUP(B38,$O$5:$P$10,2),"")</f>
        <v/>
      </c>
      <c r="G38" s="182" t="str">
        <f>IFERROR(E38*F38,"")</f>
        <v/>
      </c>
    </row>
    <row r="39" spans="2:10">
      <c r="B39" s="26" t="str">
        <f>IF(入力シート!C8="","",入力シート!C8)</f>
        <v/>
      </c>
      <c r="C39" s="26" t="str">
        <f>IF(入力シート!D8="","",入力シート!D8)</f>
        <v/>
      </c>
      <c r="E39" s="212" t="str">
        <f>IF(入力シート!G8="","",入力シート!G8)</f>
        <v/>
      </c>
      <c r="F39" s="183" t="str">
        <f>IFERROR(VLOOKUP(B39,$O$5:$P$10,2),"")</f>
        <v/>
      </c>
      <c r="G39" s="182" t="str">
        <f>IFERROR(E39*F39,"")</f>
        <v/>
      </c>
    </row>
    <row r="40" spans="2:10">
      <c r="B40" s="26" t="str">
        <f>IF(入力シート!C9="","",入力シート!C9)</f>
        <v/>
      </c>
      <c r="C40" s="26" t="str">
        <f>IF(入力シート!D9="","",入力シート!D9)</f>
        <v/>
      </c>
      <c r="E40" s="212" t="str">
        <f>IF(入力シート!G9="","",入力シート!G9)</f>
        <v/>
      </c>
      <c r="F40" s="183" t="str">
        <f t="shared" si="8"/>
        <v/>
      </c>
      <c r="G40" s="182" t="str">
        <f>IFERROR(E40*F40,"")</f>
        <v/>
      </c>
    </row>
    <row r="41" spans="2:10">
      <c r="B41" s="26" t="str">
        <f>IF(入力シート!C10="","",入力シート!C10)</f>
        <v/>
      </c>
      <c r="C41" s="26" t="str">
        <f>IF(入力シート!D10="","",入力シート!D10)</f>
        <v/>
      </c>
      <c r="E41" s="212" t="str">
        <f>IF(入力シート!G10="","",入力シート!G10)</f>
        <v/>
      </c>
      <c r="F41" s="183" t="str">
        <f t="shared" si="8"/>
        <v/>
      </c>
      <c r="G41" s="182" t="str">
        <f t="shared" ref="G41:G42" si="9">IFERROR(E41*F41,"")</f>
        <v/>
      </c>
    </row>
    <row r="42" spans="2:10" ht="14.25" thickBot="1">
      <c r="B42" s="26" t="str">
        <f>IF(入力シート!C11="","",入力シート!C11)</f>
        <v/>
      </c>
      <c r="C42" s="26" t="str">
        <f>IF(入力シート!D11="","",入力シート!D11)</f>
        <v/>
      </c>
      <c r="E42" s="212" t="str">
        <f>IF(入力シート!G11="","",入力シート!G11)</f>
        <v/>
      </c>
      <c r="F42" s="183" t="str">
        <f t="shared" si="8"/>
        <v/>
      </c>
      <c r="G42" s="182" t="str">
        <f t="shared" si="9"/>
        <v/>
      </c>
    </row>
    <row r="43" spans="2:10" ht="14.25" thickBot="1">
      <c r="E43" s="189"/>
      <c r="F43" s="253" t="s">
        <v>230</v>
      </c>
      <c r="G43" s="180">
        <f>SUM(G37:G42)</f>
        <v>0</v>
      </c>
    </row>
    <row r="44" spans="2:10">
      <c r="C44" s="179" t="s">
        <v>61</v>
      </c>
      <c r="E44" s="181"/>
      <c r="F44" s="183"/>
    </row>
    <row r="45" spans="2:10">
      <c r="B45" s="184"/>
      <c r="C45" s="184"/>
      <c r="D45" s="188" t="s">
        <v>62</v>
      </c>
      <c r="E45" s="187" t="s">
        <v>59</v>
      </c>
      <c r="F45" s="186" t="s">
        <v>60</v>
      </c>
      <c r="G45" s="185" t="s">
        <v>229</v>
      </c>
      <c r="H45" s="184"/>
    </row>
    <row r="46" spans="2:10">
      <c r="B46" s="26" t="str">
        <f>IF(入力シート!C33="","",入力シート!C33)</f>
        <v/>
      </c>
      <c r="C46" s="26" t="str">
        <f>IF(入力シート!D33="","",入力シート!D33)</f>
        <v/>
      </c>
      <c r="E46" s="212" t="str">
        <f>IF(入力シート!G33="","",入力シート!G33)</f>
        <v/>
      </c>
      <c r="F46" s="183" t="str">
        <f>IFERROR(VLOOKUP(B46,$O$22:$P$27,2),"")</f>
        <v/>
      </c>
      <c r="G46" s="182" t="str">
        <f>IFERROR(E46*F46,"")</f>
        <v/>
      </c>
    </row>
    <row r="47" spans="2:10">
      <c r="B47" s="26" t="str">
        <f>IF(入力シート!C34="","",入力シート!C34)</f>
        <v/>
      </c>
      <c r="C47" s="26" t="str">
        <f>IF(入力シート!D34="","",入力シート!D34)</f>
        <v/>
      </c>
      <c r="E47" s="212" t="str">
        <f>IF(入力シート!G34="","",入力シート!G34)</f>
        <v/>
      </c>
      <c r="F47" s="183" t="str">
        <f t="shared" ref="F47:F51" si="10">IFERROR(VLOOKUP(B47,$O$22:$P$27,2),"")</f>
        <v/>
      </c>
      <c r="G47" s="182" t="str">
        <f>IFERROR(E47*F47,"")</f>
        <v/>
      </c>
    </row>
    <row r="48" spans="2:10">
      <c r="B48" s="26" t="str">
        <f>IF(入力シート!C35="","",入力シート!C35)</f>
        <v/>
      </c>
      <c r="C48" s="26" t="str">
        <f>IF(入力シート!D35="","",入力シート!D35)</f>
        <v/>
      </c>
      <c r="E48" s="212" t="str">
        <f>IF(入力シート!G35="","",入力シート!G35)</f>
        <v/>
      </c>
      <c r="F48" s="183" t="str">
        <f>IFERROR(VLOOKUP(B48,$O$22:$P$27,2),"")</f>
        <v/>
      </c>
      <c r="G48" s="182" t="str">
        <f>IFERROR(E48*F48,"")</f>
        <v/>
      </c>
    </row>
    <row r="49" spans="2:12">
      <c r="B49" s="26" t="str">
        <f>IF(入力シート!C36="","",入力シート!C36)</f>
        <v/>
      </c>
      <c r="C49" s="26" t="str">
        <f>IF(入力シート!D36="","",入力シート!D36)</f>
        <v/>
      </c>
      <c r="E49" s="212" t="str">
        <f>IF(入力シート!G36="","",入力シート!G36)</f>
        <v/>
      </c>
      <c r="F49" s="183" t="str">
        <f t="shared" si="10"/>
        <v/>
      </c>
      <c r="G49" s="182" t="str">
        <f>IFERROR(E49*F49,"")</f>
        <v/>
      </c>
    </row>
    <row r="50" spans="2:12">
      <c r="B50" s="26" t="str">
        <f>IF(入力シート!C37="","",入力シート!C37)</f>
        <v/>
      </c>
      <c r="C50" s="26" t="str">
        <f>IF(入力シート!D37="","",入力シート!D37)</f>
        <v/>
      </c>
      <c r="E50" s="212" t="str">
        <f>IF(入力シート!G37="","",入力シート!G37)</f>
        <v/>
      </c>
      <c r="F50" s="183" t="str">
        <f t="shared" si="10"/>
        <v/>
      </c>
      <c r="G50" s="182" t="str">
        <f t="shared" ref="G50:G51" si="11">IFERROR(E50*F50,"")</f>
        <v/>
      </c>
    </row>
    <row r="51" spans="2:12" ht="14.25" thickBot="1">
      <c r="B51" s="26" t="str">
        <f>IF(入力シート!C38="","",入力シート!C38)</f>
        <v/>
      </c>
      <c r="C51" s="26" t="str">
        <f>IF(入力シート!D38="","",入力シート!D38)</f>
        <v/>
      </c>
      <c r="E51" s="212" t="str">
        <f>IF(入力シート!G38="","",入力シート!G38)</f>
        <v/>
      </c>
      <c r="F51" s="183" t="str">
        <f t="shared" si="10"/>
        <v/>
      </c>
      <c r="G51" s="182" t="str">
        <f t="shared" si="11"/>
        <v/>
      </c>
    </row>
    <row r="52" spans="2:12" ht="14.25" thickBot="1">
      <c r="F52" s="253" t="s">
        <v>230</v>
      </c>
      <c r="G52" s="180">
        <f>SUM(G46:G51)</f>
        <v>0</v>
      </c>
      <c r="K52" s="27"/>
      <c r="L52" s="27"/>
    </row>
  </sheetData>
  <sheetProtection algorithmName="SHA-512" hashValue="9598dwX5V5UtVd73/m63aJEiubi0eywyuPHmE6HR56a56143TUkPumV5FOJxMJXQvlv/h7QzygiZV4yrMHxH5Q==" saltValue="4DPlohj6V9IRT/KdRk3aQg=="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4"/>
  <pageMargins left="0.62992125984251968" right="0" top="0.74803149606299213" bottom="0.74803149606299213" header="0.31496062992125984" footer="0.31496062992125984"/>
  <pageSetup paperSize="9" scale="79" fitToHeight="0" orientation="portrait" r:id="rId1"/>
  <headerFooter>
    <oddFooter xml:space="preserve">&amp;RR5（補正）プラ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9713-02CE-4499-AA61-974F0CBCC165}">
  <sheetPr>
    <pageSetUpPr fitToPage="1"/>
  </sheetPr>
  <dimension ref="A1:P26"/>
  <sheetViews>
    <sheetView workbookViewId="0">
      <selection activeCell="E26" sqref="E26"/>
    </sheetView>
  </sheetViews>
  <sheetFormatPr defaultRowHeight="13.5"/>
  <cols>
    <col min="1" max="2" width="0.875" style="218" customWidth="1"/>
    <col min="3" max="3" width="4.625" style="218" customWidth="1"/>
    <col min="4" max="4" width="16.5" style="218" customWidth="1"/>
    <col min="5" max="5" width="18.25" style="218" customWidth="1"/>
    <col min="6" max="6" width="5.25" style="218" customWidth="1"/>
    <col min="7" max="7" width="7.25" style="218" customWidth="1"/>
    <col min="8" max="8" width="5.25" style="218" customWidth="1"/>
    <col min="9" max="10" width="18.25" style="218" customWidth="1"/>
    <col min="11" max="12" width="10.625" style="218" customWidth="1"/>
    <col min="13" max="13" width="10.375" style="218" customWidth="1"/>
    <col min="14" max="14" width="10.25" style="218" customWidth="1"/>
    <col min="15" max="15" width="2.25" customWidth="1"/>
  </cols>
  <sheetData>
    <row r="1" spans="1:16" s="220" customFormat="1" ht="15.75" customHeight="1">
      <c r="A1" s="218"/>
      <c r="B1" s="218"/>
      <c r="C1" s="219" t="s">
        <v>228</v>
      </c>
      <c r="D1" s="219"/>
      <c r="E1" s="219"/>
      <c r="F1" s="219"/>
      <c r="G1" s="219"/>
      <c r="H1" s="219"/>
      <c r="I1" s="219"/>
      <c r="J1" s="219"/>
      <c r="K1" s="219"/>
      <c r="L1" s="219"/>
      <c r="M1" s="219"/>
      <c r="N1" s="219"/>
      <c r="P1" s="220" t="s">
        <v>231</v>
      </c>
    </row>
    <row r="2" spans="1:16" s="220" customFormat="1" ht="21.95" customHeight="1" thickBot="1">
      <c r="A2" s="218"/>
      <c r="B2" s="218"/>
      <c r="C2" s="218"/>
      <c r="D2" s="218"/>
      <c r="E2" s="218"/>
      <c r="F2" s="218"/>
      <c r="G2" s="218"/>
      <c r="H2" s="218"/>
      <c r="I2" s="218"/>
      <c r="J2" s="218"/>
      <c r="K2" s="218"/>
      <c r="L2" s="218"/>
      <c r="M2" s="218"/>
      <c r="N2" s="218"/>
    </row>
    <row r="3" spans="1:16" s="220" customFormat="1" ht="21.95" customHeight="1">
      <c r="C3" s="716"/>
      <c r="D3" s="718" t="s">
        <v>47</v>
      </c>
      <c r="E3" s="720" t="s">
        <v>211</v>
      </c>
      <c r="F3" s="712" t="s">
        <v>212</v>
      </c>
      <c r="G3" s="712" t="s">
        <v>213</v>
      </c>
      <c r="H3" s="712" t="s">
        <v>214</v>
      </c>
      <c r="I3" s="720" t="s">
        <v>215</v>
      </c>
      <c r="J3" s="722"/>
      <c r="K3" s="722"/>
      <c r="L3" s="718"/>
      <c r="M3" s="712" t="s">
        <v>216</v>
      </c>
      <c r="N3" s="714" t="s">
        <v>217</v>
      </c>
    </row>
    <row r="4" spans="1:16" s="218" customFormat="1" ht="21.95" customHeight="1">
      <c r="A4" s="220"/>
      <c r="B4" s="220"/>
      <c r="C4" s="717"/>
      <c r="D4" s="719"/>
      <c r="E4" s="721"/>
      <c r="F4" s="713"/>
      <c r="G4" s="713"/>
      <c r="H4" s="713"/>
      <c r="I4" s="221" t="s">
        <v>218</v>
      </c>
      <c r="J4" s="221" t="s">
        <v>219</v>
      </c>
      <c r="K4" s="221" t="s">
        <v>220</v>
      </c>
      <c r="L4" s="221" t="s">
        <v>221</v>
      </c>
      <c r="M4" s="713"/>
      <c r="N4" s="715"/>
    </row>
    <row r="5" spans="1:16" s="218" customFormat="1" ht="21.95" customHeight="1">
      <c r="A5" s="220"/>
      <c r="B5" s="220"/>
      <c r="C5" s="222"/>
      <c r="D5" s="223"/>
      <c r="E5" s="223"/>
      <c r="F5" s="224"/>
      <c r="G5" s="224"/>
      <c r="H5" s="224"/>
      <c r="I5" s="224"/>
      <c r="J5" s="224"/>
      <c r="K5" s="225"/>
      <c r="L5" s="224"/>
      <c r="M5" s="224"/>
      <c r="N5" s="226"/>
    </row>
    <row r="6" spans="1:16" s="220" customFormat="1" ht="21.95" customHeight="1">
      <c r="C6" s="227"/>
      <c r="D6" s="223"/>
      <c r="E6" s="223"/>
      <c r="F6" s="224"/>
      <c r="G6" s="224"/>
      <c r="H6" s="224"/>
      <c r="I6" s="224"/>
      <c r="J6" s="224"/>
      <c r="K6" s="225"/>
      <c r="L6" s="224"/>
      <c r="M6" s="224"/>
      <c r="N6" s="229"/>
    </row>
    <row r="7" spans="1:16" s="218" customFormat="1" ht="21.95" customHeight="1">
      <c r="C7" s="222"/>
      <c r="D7" s="228"/>
      <c r="E7" s="228"/>
      <c r="F7" s="224"/>
      <c r="G7" s="224"/>
      <c r="H7" s="224"/>
      <c r="I7" s="224"/>
      <c r="J7" s="224"/>
      <c r="K7" s="225"/>
      <c r="L7" s="224"/>
      <c r="M7" s="224"/>
      <c r="N7" s="229"/>
    </row>
    <row r="8" spans="1:16" s="218" customFormat="1" ht="21.95" customHeight="1">
      <c r="C8" s="227"/>
      <c r="D8" s="228"/>
      <c r="E8" s="228"/>
      <c r="F8" s="224"/>
      <c r="G8" s="224"/>
      <c r="H8" s="224"/>
      <c r="I8" s="224"/>
      <c r="J8" s="224"/>
      <c r="K8" s="225"/>
      <c r="L8" s="224"/>
      <c r="M8" s="224"/>
      <c r="N8" s="229"/>
    </row>
    <row r="9" spans="1:16" s="218" customFormat="1" ht="21.95" customHeight="1">
      <c r="A9" s="220"/>
      <c r="B9" s="220"/>
      <c r="C9" s="222"/>
      <c r="D9" s="228"/>
      <c r="E9" s="228"/>
      <c r="F9" s="224"/>
      <c r="G9" s="224"/>
      <c r="H9" s="224"/>
      <c r="I9" s="224"/>
      <c r="J9" s="224"/>
      <c r="K9" s="225"/>
      <c r="L9" s="224"/>
      <c r="M9" s="224"/>
      <c r="N9" s="229"/>
    </row>
    <row r="10" spans="1:16" s="218" customFormat="1" ht="21.95" customHeight="1">
      <c r="C10" s="227"/>
      <c r="D10" s="230"/>
      <c r="E10" s="230"/>
      <c r="F10" s="224"/>
      <c r="G10" s="224"/>
      <c r="H10" s="224"/>
      <c r="I10" s="231"/>
      <c r="J10" s="224"/>
      <c r="K10" s="225"/>
      <c r="L10" s="224"/>
      <c r="M10" s="224"/>
      <c r="N10" s="232"/>
    </row>
    <row r="11" spans="1:16" s="218" customFormat="1" ht="21.95" customHeight="1">
      <c r="C11" s="222"/>
      <c r="D11" s="230"/>
      <c r="E11" s="230"/>
      <c r="F11" s="224"/>
      <c r="G11" s="224"/>
      <c r="H11" s="224"/>
      <c r="I11" s="231"/>
      <c r="J11" s="224"/>
      <c r="K11" s="225"/>
      <c r="L11" s="224"/>
      <c r="M11" s="224"/>
      <c r="N11" s="232"/>
    </row>
    <row r="12" spans="1:16" s="218" customFormat="1" ht="21.95" customHeight="1">
      <c r="C12" s="227"/>
      <c r="D12" s="230"/>
      <c r="E12" s="230"/>
      <c r="F12" s="224"/>
      <c r="G12" s="224"/>
      <c r="H12" s="224"/>
      <c r="I12" s="231"/>
      <c r="J12" s="224"/>
      <c r="K12" s="233"/>
      <c r="L12" s="224"/>
      <c r="M12" s="224"/>
      <c r="N12" s="232"/>
    </row>
    <row r="13" spans="1:16" s="218" customFormat="1" ht="21.95" customHeight="1">
      <c r="C13" s="222"/>
      <c r="D13" s="230"/>
      <c r="E13" s="230"/>
      <c r="F13" s="224"/>
      <c r="G13" s="224"/>
      <c r="H13" s="224"/>
      <c r="I13" s="224"/>
      <c r="J13" s="224"/>
      <c r="K13" s="225"/>
      <c r="L13" s="224"/>
      <c r="M13" s="224"/>
      <c r="N13" s="232"/>
    </row>
    <row r="14" spans="1:16" s="218" customFormat="1" ht="21.95" customHeight="1">
      <c r="C14" s="227"/>
      <c r="D14" s="230"/>
      <c r="E14" s="230"/>
      <c r="F14" s="224"/>
      <c r="G14" s="224"/>
      <c r="H14" s="224"/>
      <c r="I14" s="231"/>
      <c r="J14" s="224"/>
      <c r="K14" s="233"/>
      <c r="L14" s="224"/>
      <c r="M14" s="224"/>
      <c r="N14" s="232"/>
    </row>
    <row r="15" spans="1:16" s="218" customFormat="1" ht="21.95" customHeight="1" thickBot="1">
      <c r="C15" s="234"/>
      <c r="D15" s="235"/>
      <c r="E15" s="235"/>
      <c r="F15" s="236"/>
      <c r="G15" s="254"/>
      <c r="H15" s="254"/>
      <c r="I15" s="237"/>
      <c r="J15" s="236"/>
      <c r="K15" s="238"/>
      <c r="L15" s="235"/>
      <c r="M15" s="235"/>
      <c r="N15" s="239"/>
    </row>
    <row r="16" spans="1:16" s="218" customFormat="1" ht="21.95" customHeight="1">
      <c r="C16" s="240"/>
      <c r="D16" s="241"/>
      <c r="E16" s="241"/>
      <c r="F16" s="242"/>
      <c r="G16" s="255"/>
      <c r="H16" s="255"/>
      <c r="I16" s="243"/>
      <c r="J16" s="242"/>
      <c r="K16" s="244"/>
      <c r="L16" s="242"/>
      <c r="M16" s="242"/>
      <c r="N16" s="245"/>
    </row>
    <row r="17" spans="3:14" s="218" customFormat="1" ht="21.95" customHeight="1">
      <c r="C17" s="227"/>
      <c r="D17" s="230"/>
      <c r="E17" s="230"/>
      <c r="F17" s="224"/>
      <c r="G17" s="224"/>
      <c r="H17" s="224"/>
      <c r="I17" s="231"/>
      <c r="J17" s="231"/>
      <c r="K17" s="233"/>
      <c r="L17" s="224"/>
      <c r="M17" s="224"/>
      <c r="N17" s="232"/>
    </row>
    <row r="18" spans="3:14" s="218" customFormat="1" ht="21.95" customHeight="1">
      <c r="C18" s="222"/>
      <c r="D18" s="230"/>
      <c r="E18" s="230"/>
      <c r="F18" s="224"/>
      <c r="G18" s="224"/>
      <c r="H18" s="224"/>
      <c r="I18" s="231"/>
      <c r="J18" s="231"/>
      <c r="K18" s="233"/>
      <c r="L18" s="231"/>
      <c r="M18" s="230"/>
      <c r="N18" s="232"/>
    </row>
    <row r="19" spans="3:14" s="218" customFormat="1" ht="21.95" customHeight="1">
      <c r="C19" s="246"/>
      <c r="D19" s="230"/>
      <c r="E19" s="230"/>
      <c r="F19" s="230"/>
      <c r="G19" s="224"/>
      <c r="H19" s="224"/>
      <c r="I19" s="230"/>
      <c r="J19" s="230"/>
      <c r="K19" s="230"/>
      <c r="L19" s="230"/>
      <c r="M19" s="230"/>
      <c r="N19" s="232"/>
    </row>
    <row r="20" spans="3:14" s="218" customFormat="1" ht="21.95" customHeight="1">
      <c r="C20" s="246"/>
      <c r="D20" s="230"/>
      <c r="E20" s="230"/>
      <c r="F20" s="230"/>
      <c r="G20" s="224"/>
      <c r="H20" s="224"/>
      <c r="I20" s="230"/>
      <c r="J20" s="230"/>
      <c r="K20" s="230"/>
      <c r="L20" s="230"/>
      <c r="M20" s="230"/>
      <c r="N20" s="232"/>
    </row>
    <row r="21" spans="3:14" s="218" customFormat="1" ht="21.95" customHeight="1">
      <c r="C21" s="246"/>
      <c r="D21" s="230"/>
      <c r="E21" s="230"/>
      <c r="F21" s="230"/>
      <c r="G21" s="224"/>
      <c r="H21" s="224"/>
      <c r="I21" s="230"/>
      <c r="J21" s="230"/>
      <c r="K21" s="230"/>
      <c r="L21" s="230"/>
      <c r="M21" s="230"/>
      <c r="N21" s="232"/>
    </row>
    <row r="22" spans="3:14" s="218" customFormat="1" ht="21.95" customHeight="1">
      <c r="C22" s="246"/>
      <c r="D22" s="230"/>
      <c r="E22" s="230"/>
      <c r="F22" s="230"/>
      <c r="G22" s="224"/>
      <c r="H22" s="224"/>
      <c r="I22" s="230"/>
      <c r="J22" s="230"/>
      <c r="K22" s="230"/>
      <c r="L22" s="230"/>
      <c r="M22" s="230"/>
      <c r="N22" s="232"/>
    </row>
    <row r="23" spans="3:14" s="218" customFormat="1" ht="21.95" customHeight="1">
      <c r="C23" s="246"/>
      <c r="D23" s="230"/>
      <c r="E23" s="230"/>
      <c r="F23" s="230"/>
      <c r="G23" s="224"/>
      <c r="H23" s="224"/>
      <c r="I23" s="230"/>
      <c r="J23" s="230"/>
      <c r="K23" s="230"/>
      <c r="L23" s="230"/>
      <c r="M23" s="230"/>
      <c r="N23" s="247"/>
    </row>
    <row r="24" spans="3:14" s="218" customFormat="1" ht="21.95" customHeight="1">
      <c r="C24" s="246"/>
      <c r="D24" s="230"/>
      <c r="E24" s="230"/>
      <c r="F24" s="230"/>
      <c r="G24" s="224"/>
      <c r="H24" s="224"/>
      <c r="I24" s="230"/>
      <c r="J24" s="230"/>
      <c r="K24" s="230"/>
      <c r="L24" s="230"/>
      <c r="M24" s="230"/>
      <c r="N24" s="247"/>
    </row>
    <row r="25" spans="3:14" ht="14.25" thickBot="1">
      <c r="C25" s="248"/>
      <c r="D25" s="249"/>
      <c r="E25" s="249"/>
      <c r="F25" s="249"/>
      <c r="G25" s="254"/>
      <c r="H25" s="254"/>
      <c r="I25" s="249"/>
      <c r="J25" s="249"/>
      <c r="K25" s="250"/>
      <c r="L25" s="249"/>
      <c r="M25" s="249"/>
      <c r="N25" s="251"/>
    </row>
    <row r="26" spans="3:14">
      <c r="N26" s="337" t="s">
        <v>222</v>
      </c>
    </row>
  </sheetData>
  <mergeCells count="9">
    <mergeCell ref="M3:M4"/>
    <mergeCell ref="N3:N4"/>
    <mergeCell ref="C3:C4"/>
    <mergeCell ref="D3:D4"/>
    <mergeCell ref="E3:E4"/>
    <mergeCell ref="F3:F4"/>
    <mergeCell ref="G3:G4"/>
    <mergeCell ref="H3:H4"/>
    <mergeCell ref="I3:L3"/>
  </mergeCells>
  <phoneticPr fontId="4"/>
  <dataValidations count="1">
    <dataValidation type="list" allowBlank="1" showInputMessage="1" showErrorMessage="1" sqref="G5:H25" xr:uid="{84757D9F-3127-43CC-9A24-B9D7FBA3572C}">
      <formula1>$P$1:$P$2</formula1>
    </dataValidation>
  </dataValidations>
  <pageMargins left="0.70866141732283472" right="0" top="0.74803149606299213" bottom="0.74803149606299213" header="0.31496062992125984" footer="0.31496062992125984"/>
  <pageSetup paperSize="9" scale="95" orientation="landscape" horizontalDpi="4294967293" r:id="rId1"/>
  <headerFooter>
    <oddFooter>&amp;RR5（補正）プラ</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50" zoomScaleNormal="100" zoomScaleSheetLayoutView="100" workbookViewId="0">
      <selection activeCell="T60" sqref="T60:U68"/>
    </sheetView>
  </sheetViews>
  <sheetFormatPr defaultRowHeight="13.5"/>
  <cols>
    <col min="1" max="1" width="10.375" style="78" customWidth="1"/>
    <col min="2" max="3" width="9" style="78"/>
    <col min="4" max="4" width="9.25" style="78" customWidth="1"/>
    <col min="5" max="6" width="7.625" style="78" customWidth="1"/>
    <col min="7" max="8" width="7.75" style="78" customWidth="1"/>
    <col min="9" max="14" width="6.875" style="78" customWidth="1"/>
    <col min="15" max="16" width="8.125" style="78" customWidth="1"/>
    <col min="17" max="17" width="14.125" style="78" customWidth="1"/>
    <col min="18" max="18" width="9" style="78"/>
    <col min="19" max="19" width="10.5" style="78" customWidth="1"/>
    <col min="20" max="16384" width="9" style="78"/>
  </cols>
  <sheetData>
    <row r="1" spans="1:17" ht="17.25">
      <c r="A1" s="148" t="s">
        <v>102</v>
      </c>
      <c r="B1" s="127"/>
      <c r="C1" s="127"/>
      <c r="D1" s="127"/>
      <c r="E1" s="127"/>
      <c r="F1" s="127"/>
      <c r="G1" s="127"/>
      <c r="H1" s="127"/>
      <c r="I1" s="127"/>
      <c r="J1" s="127"/>
      <c r="K1" s="127"/>
      <c r="L1" s="127"/>
      <c r="M1" s="127"/>
      <c r="N1" s="127"/>
      <c r="O1" s="127"/>
      <c r="P1" s="127"/>
      <c r="Q1" s="127"/>
    </row>
    <row r="2" spans="1:17" ht="17.25">
      <c r="A2" s="148" t="s">
        <v>103</v>
      </c>
      <c r="B2" s="127"/>
      <c r="C2" s="127"/>
      <c r="D2" s="127"/>
      <c r="E2" s="127"/>
      <c r="F2" s="127"/>
      <c r="G2" s="127"/>
      <c r="H2" s="127"/>
      <c r="I2" s="127"/>
      <c r="J2" s="127"/>
      <c r="K2" s="127"/>
      <c r="L2" s="127"/>
      <c r="M2" s="127"/>
      <c r="N2" s="127"/>
      <c r="O2" s="127"/>
      <c r="P2" s="127"/>
      <c r="Q2" s="127"/>
    </row>
    <row r="3" spans="1:17">
      <c r="A3" s="127"/>
      <c r="B3" s="127"/>
      <c r="C3" s="127"/>
      <c r="D3" s="127"/>
      <c r="E3" s="127"/>
      <c r="F3" s="127"/>
      <c r="G3" s="127"/>
      <c r="H3" s="127"/>
      <c r="I3" s="127"/>
      <c r="J3" s="127"/>
      <c r="K3" s="127"/>
      <c r="L3" s="127"/>
      <c r="M3" s="127"/>
      <c r="N3" s="127"/>
      <c r="O3" s="127"/>
      <c r="P3" s="127"/>
      <c r="Q3" s="127"/>
    </row>
    <row r="4" spans="1:17">
      <c r="A4" s="127" t="s">
        <v>104</v>
      </c>
      <c r="B4" s="127"/>
      <c r="C4" s="127"/>
      <c r="D4" s="127"/>
      <c r="E4" s="127"/>
      <c r="F4" s="127"/>
      <c r="G4" s="127"/>
      <c r="H4" s="127"/>
      <c r="I4" s="127"/>
      <c r="J4" s="127"/>
      <c r="K4" s="127"/>
      <c r="L4" s="127"/>
      <c r="M4" s="127"/>
      <c r="N4" s="127"/>
      <c r="O4" s="127"/>
      <c r="P4" s="127"/>
      <c r="Q4" s="127"/>
    </row>
    <row r="5" spans="1:17">
      <c r="A5" s="127" t="s">
        <v>105</v>
      </c>
      <c r="B5" s="127"/>
      <c r="C5" s="127"/>
      <c r="D5" s="127"/>
      <c r="E5" s="127"/>
      <c r="F5" s="127"/>
      <c r="G5" s="127"/>
      <c r="H5" s="127"/>
      <c r="I5" s="127"/>
      <c r="J5" s="127"/>
      <c r="K5" s="127"/>
      <c r="L5" s="127"/>
      <c r="M5" s="127"/>
      <c r="N5" s="127"/>
      <c r="O5" s="127"/>
      <c r="P5" s="127"/>
      <c r="Q5" s="127"/>
    </row>
    <row r="6" spans="1:17">
      <c r="A6" s="127" t="s">
        <v>106</v>
      </c>
      <c r="B6" s="127"/>
      <c r="C6" s="127"/>
      <c r="D6" s="127"/>
      <c r="E6" s="127"/>
      <c r="F6" s="127"/>
      <c r="G6" s="127"/>
      <c r="H6" s="127"/>
      <c r="I6" s="127"/>
      <c r="J6" s="127"/>
      <c r="K6" s="127"/>
      <c r="L6" s="127"/>
      <c r="M6" s="127"/>
      <c r="N6" s="127"/>
      <c r="O6" s="127"/>
      <c r="P6" s="127"/>
      <c r="Q6" s="127"/>
    </row>
    <row r="7" spans="1:17">
      <c r="A7" s="127"/>
      <c r="B7" s="127"/>
      <c r="C7" s="127"/>
      <c r="D7" s="127"/>
      <c r="E7" s="127"/>
      <c r="F7" s="127"/>
      <c r="G7" s="127"/>
      <c r="H7" s="127"/>
      <c r="I7" s="127"/>
      <c r="J7" s="127"/>
      <c r="K7" s="127"/>
      <c r="L7" s="127"/>
      <c r="M7" s="127"/>
      <c r="N7" s="127"/>
      <c r="O7" s="127"/>
      <c r="P7" s="127"/>
      <c r="Q7" s="127"/>
    </row>
    <row r="8" spans="1:17" ht="13.5" customHeight="1">
      <c r="A8" s="147"/>
      <c r="B8" s="146"/>
      <c r="C8" s="146"/>
      <c r="D8" s="146"/>
      <c r="E8" s="146"/>
      <c r="F8" s="146"/>
      <c r="G8" s="146"/>
      <c r="H8" s="146"/>
      <c r="I8" s="145"/>
      <c r="J8" s="145"/>
      <c r="K8" s="145"/>
      <c r="L8" s="145"/>
      <c r="M8" s="145"/>
      <c r="N8" s="145"/>
      <c r="O8" s="145"/>
      <c r="P8" s="145"/>
      <c r="Q8" s="144"/>
    </row>
    <row r="9" spans="1:17" ht="14.25">
      <c r="A9" s="143" t="s">
        <v>107</v>
      </c>
      <c r="B9" s="81"/>
      <c r="C9" s="81"/>
      <c r="D9" s="81"/>
      <c r="E9" s="81"/>
      <c r="F9" s="81"/>
      <c r="G9" s="81"/>
      <c r="H9" s="81"/>
      <c r="I9" s="127"/>
      <c r="J9" s="127"/>
      <c r="K9" s="127"/>
      <c r="L9" s="127"/>
      <c r="M9" s="127"/>
      <c r="N9" s="127"/>
      <c r="O9" s="127"/>
      <c r="P9" s="127"/>
      <c r="Q9" s="142"/>
    </row>
    <row r="10" spans="1:17" ht="14.25" customHeight="1">
      <c r="A10" s="787" t="s">
        <v>108</v>
      </c>
      <c r="B10" s="788"/>
      <c r="C10" s="788"/>
      <c r="D10" s="788"/>
      <c r="E10" s="788"/>
      <c r="F10" s="788"/>
      <c r="G10" s="788"/>
      <c r="H10" s="788"/>
      <c r="I10" s="788"/>
      <c r="J10" s="788"/>
      <c r="K10" s="788"/>
      <c r="L10" s="788"/>
      <c r="M10" s="788"/>
      <c r="N10" s="788"/>
      <c r="O10" s="788"/>
      <c r="P10" s="788"/>
      <c r="Q10" s="789"/>
    </row>
    <row r="11" spans="1:17" ht="13.5" customHeight="1">
      <c r="A11" s="738" t="s">
        <v>109</v>
      </c>
      <c r="B11" s="739"/>
      <c r="C11" s="739"/>
      <c r="D11" s="739"/>
      <c r="E11" s="739"/>
      <c r="F11" s="739"/>
      <c r="G11" s="739"/>
      <c r="H11" s="739"/>
      <c r="I11" s="739"/>
      <c r="J11" s="739"/>
      <c r="K11" s="739"/>
      <c r="L11" s="739"/>
      <c r="M11" s="739"/>
      <c r="N11" s="739"/>
      <c r="O11" s="739"/>
      <c r="P11" s="739"/>
      <c r="Q11" s="740"/>
    </row>
    <row r="12" spans="1:17">
      <c r="A12" s="141"/>
      <c r="B12" s="140"/>
      <c r="C12" s="140"/>
      <c r="D12" s="140"/>
      <c r="E12" s="140"/>
      <c r="F12" s="140"/>
      <c r="G12" s="140"/>
      <c r="H12" s="140"/>
      <c r="I12" s="139"/>
      <c r="J12" s="139"/>
      <c r="K12" s="139"/>
      <c r="L12" s="139"/>
      <c r="M12" s="139"/>
      <c r="N12" s="139"/>
      <c r="O12" s="139"/>
      <c r="P12" s="139"/>
      <c r="Q12" s="138"/>
    </row>
    <row r="13" spans="1:17">
      <c r="A13" s="81"/>
      <c r="B13" s="81"/>
      <c r="C13" s="81"/>
      <c r="D13" s="81"/>
      <c r="E13" s="81"/>
      <c r="F13" s="81"/>
      <c r="G13" s="81"/>
      <c r="H13" s="81"/>
      <c r="I13" s="127"/>
      <c r="J13" s="127"/>
      <c r="K13" s="127"/>
      <c r="L13" s="127"/>
      <c r="M13" s="127"/>
      <c r="N13" s="127"/>
      <c r="O13" s="127"/>
      <c r="P13" s="127"/>
      <c r="Q13" s="127"/>
    </row>
    <row r="14" spans="1:17">
      <c r="A14" s="133" t="s">
        <v>110</v>
      </c>
      <c r="B14" s="127"/>
      <c r="C14" s="127"/>
      <c r="D14" s="127"/>
      <c r="E14" s="127"/>
      <c r="F14" s="127"/>
      <c r="G14" s="127"/>
      <c r="H14" s="127"/>
      <c r="I14" s="127"/>
      <c r="J14" s="127"/>
      <c r="K14" s="127"/>
      <c r="L14" s="127"/>
      <c r="M14" s="127"/>
      <c r="N14" s="127"/>
      <c r="O14" s="127"/>
      <c r="P14" s="127"/>
      <c r="Q14" s="127"/>
    </row>
    <row r="15" spans="1:17">
      <c r="A15" s="133" t="s">
        <v>111</v>
      </c>
      <c r="B15" s="127"/>
      <c r="C15" s="127"/>
      <c r="D15" s="127"/>
      <c r="E15" s="127"/>
      <c r="F15" s="127"/>
      <c r="G15" s="127"/>
      <c r="H15" s="127"/>
      <c r="I15" s="127"/>
      <c r="J15" s="127"/>
      <c r="K15" s="127"/>
      <c r="L15" s="127"/>
      <c r="M15" s="127"/>
      <c r="N15" s="127"/>
      <c r="O15" s="127"/>
      <c r="P15" s="127"/>
      <c r="Q15" s="127"/>
    </row>
    <row r="16" spans="1:17" ht="18.75" customHeight="1">
      <c r="A16" s="127"/>
      <c r="B16" s="725" t="s">
        <v>112</v>
      </c>
      <c r="C16" s="726"/>
      <c r="D16" s="726"/>
      <c r="E16" s="726"/>
      <c r="F16" s="726"/>
      <c r="G16" s="726"/>
      <c r="H16" s="726"/>
      <c r="I16" s="726"/>
      <c r="J16" s="726"/>
      <c r="K16" s="726"/>
      <c r="L16" s="726"/>
      <c r="M16" s="726"/>
      <c r="N16" s="727"/>
      <c r="O16" s="127"/>
      <c r="P16" s="127"/>
      <c r="Q16" s="127"/>
    </row>
    <row r="17" spans="1:17">
      <c r="A17" s="137"/>
      <c r="B17" s="137"/>
      <c r="C17" s="137"/>
      <c r="D17" s="137"/>
      <c r="E17" s="137"/>
      <c r="F17" s="137"/>
      <c r="G17" s="137"/>
      <c r="H17" s="137"/>
      <c r="I17" s="137"/>
      <c r="J17" s="137"/>
      <c r="K17" s="137"/>
      <c r="L17" s="137"/>
      <c r="M17" s="127"/>
      <c r="N17" s="127"/>
      <c r="O17" s="127"/>
      <c r="P17" s="127"/>
      <c r="Q17" s="127"/>
    </row>
    <row r="18" spans="1:17">
      <c r="A18" s="133" t="s">
        <v>113</v>
      </c>
      <c r="B18" s="127"/>
      <c r="C18" s="127"/>
      <c r="D18" s="127"/>
      <c r="E18" s="127"/>
      <c r="F18" s="127"/>
      <c r="G18" s="127"/>
      <c r="H18" s="127"/>
      <c r="I18" s="127"/>
      <c r="J18" s="127"/>
      <c r="K18" s="127"/>
      <c r="L18" s="127"/>
      <c r="M18" s="127"/>
      <c r="N18" s="127"/>
      <c r="O18" s="127"/>
      <c r="P18" s="127"/>
      <c r="Q18" s="127"/>
    </row>
    <row r="19" spans="1:17">
      <c r="A19" s="133" t="s">
        <v>114</v>
      </c>
      <c r="B19" s="127"/>
      <c r="C19" s="127"/>
      <c r="D19" s="127"/>
      <c r="E19" s="127"/>
      <c r="F19" s="127"/>
      <c r="G19" s="127"/>
      <c r="H19" s="127"/>
      <c r="I19" s="127"/>
      <c r="J19" s="127"/>
      <c r="K19" s="127"/>
      <c r="L19" s="127"/>
      <c r="M19" s="127"/>
      <c r="N19" s="127"/>
      <c r="O19" s="127"/>
      <c r="P19" s="127"/>
      <c r="Q19" s="127"/>
    </row>
    <row r="20" spans="1:17">
      <c r="A20" s="133" t="s">
        <v>115</v>
      </c>
      <c r="B20" s="127"/>
      <c r="C20" s="127"/>
      <c r="D20" s="127"/>
      <c r="E20" s="127"/>
      <c r="F20" s="127"/>
      <c r="G20" s="127"/>
      <c r="H20" s="127"/>
      <c r="I20" s="127"/>
      <c r="J20" s="127"/>
      <c r="K20" s="127"/>
      <c r="L20" s="127"/>
      <c r="M20" s="127"/>
      <c r="N20" s="127"/>
      <c r="O20" s="127"/>
      <c r="P20" s="127"/>
      <c r="Q20" s="127"/>
    </row>
    <row r="21" spans="1:17" ht="18.75" customHeight="1">
      <c r="A21" s="127"/>
      <c r="B21" s="725" t="s">
        <v>116</v>
      </c>
      <c r="C21" s="726"/>
      <c r="D21" s="726"/>
      <c r="E21" s="726"/>
      <c r="F21" s="726"/>
      <c r="G21" s="726"/>
      <c r="H21" s="726"/>
      <c r="I21" s="726"/>
      <c r="J21" s="726"/>
      <c r="K21" s="726"/>
      <c r="L21" s="726"/>
      <c r="M21" s="726"/>
      <c r="N21" s="727"/>
      <c r="O21" s="127"/>
      <c r="P21" s="127"/>
      <c r="Q21" s="127"/>
    </row>
    <row r="22" spans="1:17">
      <c r="A22" s="127"/>
      <c r="B22" s="127"/>
      <c r="C22" s="127"/>
      <c r="D22" s="127"/>
      <c r="E22" s="127"/>
      <c r="F22" s="127"/>
      <c r="G22" s="127"/>
      <c r="H22" s="127"/>
      <c r="I22" s="127"/>
      <c r="J22" s="127"/>
      <c r="K22" s="127"/>
      <c r="L22" s="127"/>
      <c r="M22" s="127"/>
      <c r="N22" s="127"/>
      <c r="O22" s="127"/>
      <c r="P22" s="127"/>
      <c r="Q22" s="127"/>
    </row>
    <row r="23" spans="1:17">
      <c r="A23" s="133" t="s">
        <v>117</v>
      </c>
      <c r="B23" s="127"/>
      <c r="C23" s="127"/>
      <c r="D23" s="127"/>
      <c r="E23" s="127"/>
      <c r="F23" s="127"/>
      <c r="G23" s="127"/>
      <c r="H23" s="127"/>
      <c r="I23" s="127"/>
      <c r="J23" s="127"/>
      <c r="K23" s="127"/>
      <c r="L23" s="127"/>
      <c r="M23" s="127"/>
      <c r="N23" s="127"/>
      <c r="O23" s="127"/>
      <c r="P23" s="127"/>
      <c r="Q23" s="127"/>
    </row>
    <row r="24" spans="1:17">
      <c r="A24" s="127"/>
      <c r="B24" s="764" t="s">
        <v>118</v>
      </c>
      <c r="C24" s="765"/>
      <c r="D24" s="753" t="s">
        <v>119</v>
      </c>
      <c r="E24" s="753"/>
      <c r="F24" s="753"/>
      <c r="G24" s="753"/>
      <c r="H24" s="753"/>
      <c r="I24" s="753"/>
      <c r="J24" s="753"/>
      <c r="K24" s="753"/>
      <c r="L24" s="753"/>
      <c r="M24" s="753"/>
      <c r="N24" s="754"/>
      <c r="O24" s="127"/>
      <c r="P24" s="127"/>
      <c r="Q24" s="127"/>
    </row>
    <row r="25" spans="1:17">
      <c r="A25" s="127"/>
      <c r="B25" s="762" t="s">
        <v>120</v>
      </c>
      <c r="C25" s="763"/>
      <c r="D25" s="757" t="s">
        <v>121</v>
      </c>
      <c r="E25" s="757"/>
      <c r="F25" s="757"/>
      <c r="G25" s="757"/>
      <c r="H25" s="757"/>
      <c r="I25" s="757"/>
      <c r="J25" s="757"/>
      <c r="K25" s="757"/>
      <c r="L25" s="757"/>
      <c r="M25" s="757"/>
      <c r="N25" s="758"/>
      <c r="O25" s="127"/>
      <c r="P25" s="127"/>
      <c r="Q25" s="127"/>
    </row>
    <row r="26" spans="1:17">
      <c r="A26" s="127"/>
      <c r="B26" s="136"/>
      <c r="C26" s="127"/>
      <c r="D26" s="757" t="s">
        <v>122</v>
      </c>
      <c r="E26" s="757"/>
      <c r="F26" s="757"/>
      <c r="G26" s="757"/>
      <c r="H26" s="757"/>
      <c r="I26" s="757"/>
      <c r="J26" s="757"/>
      <c r="K26" s="757"/>
      <c r="L26" s="757"/>
      <c r="M26" s="757"/>
      <c r="N26" s="758"/>
      <c r="O26" s="127"/>
      <c r="P26" s="127"/>
      <c r="Q26" s="127"/>
    </row>
    <row r="27" spans="1:17">
      <c r="A27" s="127"/>
      <c r="B27" s="136"/>
      <c r="C27" s="127"/>
      <c r="D27" s="757" t="s">
        <v>123</v>
      </c>
      <c r="E27" s="757"/>
      <c r="F27" s="757"/>
      <c r="G27" s="757"/>
      <c r="H27" s="757"/>
      <c r="I27" s="757"/>
      <c r="J27" s="757"/>
      <c r="K27" s="757"/>
      <c r="L27" s="757"/>
      <c r="M27" s="757"/>
      <c r="N27" s="758"/>
      <c r="O27" s="127"/>
      <c r="P27" s="127"/>
      <c r="Q27" s="127"/>
    </row>
    <row r="28" spans="1:17">
      <c r="A28" s="127"/>
      <c r="B28" s="135"/>
      <c r="C28" s="134"/>
      <c r="D28" s="755" t="s">
        <v>124</v>
      </c>
      <c r="E28" s="755"/>
      <c r="F28" s="755"/>
      <c r="G28" s="755"/>
      <c r="H28" s="755"/>
      <c r="I28" s="755"/>
      <c r="J28" s="755"/>
      <c r="K28" s="755"/>
      <c r="L28" s="755"/>
      <c r="M28" s="755"/>
      <c r="N28" s="756"/>
      <c r="O28" s="127"/>
      <c r="P28" s="127"/>
      <c r="Q28" s="127"/>
    </row>
    <row r="29" spans="1:17">
      <c r="A29" s="127"/>
      <c r="B29" s="127"/>
      <c r="C29" s="127"/>
      <c r="D29" s="127"/>
      <c r="E29" s="127"/>
      <c r="F29" s="127"/>
      <c r="G29" s="127"/>
      <c r="H29" s="127"/>
      <c r="I29" s="127"/>
      <c r="J29" s="127"/>
      <c r="K29" s="127"/>
      <c r="L29" s="127"/>
      <c r="M29" s="127"/>
      <c r="N29" s="127"/>
      <c r="O29" s="127"/>
      <c r="P29" s="127"/>
      <c r="Q29" s="127"/>
    </row>
    <row r="30" spans="1:17">
      <c r="A30" s="133" t="s">
        <v>125</v>
      </c>
      <c r="B30" s="127"/>
      <c r="C30" s="127"/>
      <c r="D30" s="127"/>
      <c r="E30" s="127"/>
      <c r="F30" s="127"/>
      <c r="G30" s="127"/>
      <c r="H30" s="127"/>
      <c r="I30" s="127"/>
      <c r="J30" s="127"/>
      <c r="K30" s="127"/>
      <c r="L30" s="127"/>
      <c r="M30" s="127"/>
      <c r="N30" s="127"/>
      <c r="O30" s="127"/>
      <c r="P30" s="127"/>
      <c r="Q30" s="127"/>
    </row>
    <row r="31" spans="1:17" ht="18.75" customHeight="1">
      <c r="A31" s="127"/>
      <c r="B31" s="725" t="s">
        <v>126</v>
      </c>
      <c r="C31" s="726"/>
      <c r="D31" s="726"/>
      <c r="E31" s="726"/>
      <c r="F31" s="726"/>
      <c r="G31" s="726"/>
      <c r="H31" s="726"/>
      <c r="I31" s="726"/>
      <c r="J31" s="726"/>
      <c r="K31" s="726"/>
      <c r="L31" s="726"/>
      <c r="M31" s="726"/>
      <c r="N31" s="727"/>
      <c r="O31" s="127"/>
      <c r="P31" s="127"/>
      <c r="Q31" s="127"/>
    </row>
    <row r="32" spans="1:17">
      <c r="A32" s="127"/>
      <c r="B32" s="127"/>
      <c r="C32" s="127"/>
      <c r="D32" s="127"/>
      <c r="E32" s="127"/>
      <c r="F32" s="127"/>
      <c r="G32" s="127"/>
      <c r="H32" s="127"/>
      <c r="I32" s="127"/>
      <c r="J32" s="127"/>
      <c r="K32" s="127"/>
      <c r="L32" s="127"/>
      <c r="M32" s="127"/>
      <c r="N32" s="127"/>
      <c r="O32" s="127"/>
      <c r="P32" s="127"/>
      <c r="Q32" s="127"/>
    </row>
    <row r="33" spans="1:17">
      <c r="A33" s="127"/>
      <c r="B33" s="127" t="s">
        <v>127</v>
      </c>
      <c r="C33" s="127"/>
      <c r="D33" s="127"/>
      <c r="E33" s="127"/>
      <c r="F33" s="127"/>
      <c r="G33" s="127"/>
      <c r="H33" s="127"/>
      <c r="I33" s="127"/>
      <c r="J33" s="127"/>
      <c r="K33" s="127"/>
      <c r="L33" s="127"/>
      <c r="M33" s="127"/>
      <c r="N33" s="127"/>
      <c r="O33" s="127"/>
      <c r="P33" s="127"/>
      <c r="Q33" s="127"/>
    </row>
    <row r="34" spans="1:17" ht="17.25" customHeight="1">
      <c r="A34" s="127"/>
      <c r="B34" s="127"/>
      <c r="C34" s="127"/>
      <c r="D34" s="723" t="s">
        <v>128</v>
      </c>
      <c r="E34" s="759" t="s">
        <v>129</v>
      </c>
      <c r="F34" s="760"/>
      <c r="G34" s="761"/>
      <c r="H34" s="127"/>
      <c r="I34" s="127"/>
      <c r="J34" s="127"/>
      <c r="K34" s="127"/>
      <c r="L34" s="127"/>
      <c r="M34" s="127"/>
      <c r="N34" s="127"/>
      <c r="O34" s="127"/>
      <c r="P34" s="127"/>
      <c r="Q34" s="127"/>
    </row>
    <row r="35" spans="1:17" ht="17.25" customHeight="1" thickBot="1">
      <c r="A35" s="127"/>
      <c r="B35" s="127"/>
      <c r="C35" s="127"/>
      <c r="D35" s="724"/>
      <c r="E35" s="750" t="s">
        <v>130</v>
      </c>
      <c r="F35" s="751"/>
      <c r="G35" s="752"/>
      <c r="H35" s="127"/>
      <c r="I35" s="127"/>
      <c r="J35" s="127"/>
      <c r="K35" s="127"/>
      <c r="L35" s="127"/>
      <c r="M35" s="127"/>
      <c r="N35" s="127"/>
      <c r="O35" s="127"/>
      <c r="P35" s="127"/>
      <c r="Q35" s="127"/>
    </row>
    <row r="36" spans="1:17" ht="18" customHeight="1" thickTop="1">
      <c r="A36" s="127"/>
      <c r="B36" s="127"/>
      <c r="C36" s="127"/>
      <c r="D36" s="132" t="s">
        <v>131</v>
      </c>
      <c r="E36" s="747">
        <v>22</v>
      </c>
      <c r="F36" s="748"/>
      <c r="G36" s="749"/>
      <c r="H36" s="127"/>
      <c r="I36" s="127"/>
      <c r="J36" s="127"/>
      <c r="K36" s="127"/>
      <c r="L36" s="127"/>
      <c r="M36" s="127"/>
      <c r="N36" s="127"/>
      <c r="O36" s="127"/>
      <c r="P36" s="127"/>
      <c r="Q36" s="127"/>
    </row>
    <row r="37" spans="1:17" ht="18" customHeight="1">
      <c r="A37" s="127"/>
      <c r="B37" s="127"/>
      <c r="C37" s="127"/>
      <c r="D37" s="131" t="s">
        <v>132</v>
      </c>
      <c r="E37" s="744">
        <v>39</v>
      </c>
      <c r="F37" s="745"/>
      <c r="G37" s="746"/>
      <c r="H37" s="127"/>
      <c r="I37" s="127"/>
      <c r="J37" s="127"/>
      <c r="K37" s="127"/>
      <c r="L37" s="127"/>
      <c r="M37" s="127"/>
      <c r="N37" s="127"/>
      <c r="O37" s="127"/>
      <c r="P37" s="127"/>
      <c r="Q37" s="127"/>
    </row>
    <row r="38" spans="1:17" ht="18" customHeight="1">
      <c r="A38" s="127"/>
      <c r="B38" s="127"/>
      <c r="C38" s="127"/>
      <c r="D38" s="131" t="s">
        <v>133</v>
      </c>
      <c r="E38" s="741">
        <v>1490</v>
      </c>
      <c r="F38" s="742"/>
      <c r="G38" s="743"/>
      <c r="H38" s="127"/>
      <c r="I38" s="127"/>
      <c r="J38" s="127"/>
      <c r="K38" s="127"/>
      <c r="L38" s="127"/>
      <c r="M38" s="127"/>
      <c r="N38" s="127"/>
      <c r="O38" s="127"/>
      <c r="P38" s="127"/>
      <c r="Q38" s="127"/>
    </row>
    <row r="39" spans="1:17" ht="15" customHeight="1">
      <c r="A39" s="127"/>
      <c r="B39" s="127"/>
      <c r="C39" s="82" t="s">
        <v>134</v>
      </c>
      <c r="D39" s="804" t="s">
        <v>135</v>
      </c>
      <c r="E39" s="804"/>
      <c r="F39" s="804"/>
      <c r="G39" s="804"/>
      <c r="H39" s="804"/>
      <c r="I39" s="804"/>
      <c r="J39" s="804"/>
      <c r="K39" s="804"/>
      <c r="L39" s="804"/>
      <c r="M39" s="804"/>
      <c r="N39" s="804"/>
      <c r="O39" s="804"/>
      <c r="P39" s="129"/>
      <c r="Q39" s="129"/>
    </row>
    <row r="40" spans="1:17" ht="15" customHeight="1">
      <c r="A40" s="130"/>
      <c r="B40" s="127"/>
      <c r="C40" s="127"/>
      <c r="D40" s="804"/>
      <c r="E40" s="804"/>
      <c r="F40" s="804"/>
      <c r="G40" s="804"/>
      <c r="H40" s="804"/>
      <c r="I40" s="804"/>
      <c r="J40" s="804"/>
      <c r="K40" s="804"/>
      <c r="L40" s="804"/>
      <c r="M40" s="804"/>
      <c r="N40" s="804"/>
      <c r="O40" s="804"/>
      <c r="P40" s="129"/>
      <c r="Q40" s="129"/>
    </row>
    <row r="41" spans="1:17" ht="15" customHeight="1">
      <c r="A41" s="130"/>
      <c r="B41" s="127"/>
      <c r="C41" s="127"/>
      <c r="D41" s="804"/>
      <c r="E41" s="804"/>
      <c r="F41" s="804"/>
      <c r="G41" s="804"/>
      <c r="H41" s="804"/>
      <c r="I41" s="804"/>
      <c r="J41" s="804"/>
      <c r="K41" s="804"/>
      <c r="L41" s="804"/>
      <c r="M41" s="804"/>
      <c r="N41" s="804"/>
      <c r="O41" s="804"/>
      <c r="P41" s="129"/>
      <c r="Q41" s="129"/>
    </row>
    <row r="42" spans="1:17">
      <c r="A42" s="127"/>
      <c r="B42" s="127"/>
      <c r="C42" s="82" t="s">
        <v>136</v>
      </c>
      <c r="D42" s="128" t="s">
        <v>137</v>
      </c>
      <c r="E42" s="127"/>
      <c r="F42" s="127"/>
      <c r="G42" s="127"/>
      <c r="H42" s="127"/>
      <c r="I42" s="127"/>
      <c r="J42" s="127"/>
      <c r="K42" s="127"/>
      <c r="L42" s="127"/>
      <c r="M42" s="127"/>
      <c r="N42" s="127"/>
      <c r="O42" s="127"/>
      <c r="P42" s="127"/>
      <c r="Q42" s="127"/>
    </row>
    <row r="43" spans="1:17">
      <c r="A43" s="127"/>
      <c r="B43" s="127"/>
      <c r="C43" s="127"/>
      <c r="D43" s="127"/>
      <c r="E43" s="127"/>
      <c r="F43" s="127"/>
      <c r="G43" s="127"/>
      <c r="H43" s="127"/>
      <c r="I43" s="127"/>
      <c r="J43" s="127"/>
      <c r="K43" s="127"/>
      <c r="L43" s="127"/>
      <c r="M43" s="127"/>
      <c r="N43" s="127"/>
      <c r="O43" s="127"/>
      <c r="P43" s="127"/>
      <c r="Q43" s="127"/>
    </row>
    <row r="44" spans="1:17" ht="14.25" thickBot="1">
      <c r="A44" s="805" t="s">
        <v>138</v>
      </c>
      <c r="B44" s="805"/>
      <c r="C44" s="805"/>
      <c r="D44" s="805"/>
      <c r="E44" s="805"/>
      <c r="F44" s="805"/>
      <c r="G44" s="805"/>
      <c r="H44" s="805"/>
      <c r="I44" s="805"/>
      <c r="J44" s="805"/>
      <c r="K44" s="805"/>
      <c r="L44" s="805"/>
      <c r="M44" s="805"/>
      <c r="N44" s="805"/>
      <c r="O44" s="805"/>
      <c r="P44" s="805"/>
      <c r="Q44" s="805"/>
    </row>
    <row r="45" spans="1:17" ht="28.5" customHeight="1">
      <c r="A45" s="728" t="s">
        <v>139</v>
      </c>
      <c r="B45" s="728" t="s">
        <v>140</v>
      </c>
      <c r="C45" s="732" t="s">
        <v>141</v>
      </c>
      <c r="D45" s="733"/>
      <c r="E45" s="732" t="s">
        <v>142</v>
      </c>
      <c r="F45" s="734"/>
      <c r="G45" s="732" t="s">
        <v>143</v>
      </c>
      <c r="H45" s="733"/>
      <c r="I45" s="733"/>
      <c r="J45" s="733"/>
      <c r="K45" s="733"/>
      <c r="L45" s="733"/>
      <c r="M45" s="733"/>
      <c r="N45" s="733"/>
      <c r="O45" s="728" t="s">
        <v>144</v>
      </c>
      <c r="P45" s="728" t="s">
        <v>145</v>
      </c>
      <c r="Q45" s="728" t="s">
        <v>146</v>
      </c>
    </row>
    <row r="46" spans="1:17" ht="18.75" customHeight="1">
      <c r="A46" s="729"/>
      <c r="B46" s="729"/>
      <c r="C46" s="730"/>
      <c r="D46" s="731"/>
      <c r="E46" s="730"/>
      <c r="F46" s="735"/>
      <c r="G46" s="730" t="s">
        <v>147</v>
      </c>
      <c r="H46" s="731"/>
      <c r="I46" s="731"/>
      <c r="J46" s="731"/>
      <c r="K46" s="731"/>
      <c r="L46" s="731"/>
      <c r="M46" s="731"/>
      <c r="N46" s="731"/>
      <c r="O46" s="729"/>
      <c r="P46" s="729"/>
      <c r="Q46" s="729"/>
    </row>
    <row r="47" spans="1:17" ht="18.75" customHeight="1">
      <c r="A47" s="729"/>
      <c r="B47" s="729"/>
      <c r="C47" s="793"/>
      <c r="D47" s="799" t="s">
        <v>148</v>
      </c>
      <c r="E47" s="768" t="s">
        <v>149</v>
      </c>
      <c r="F47" s="770" t="s">
        <v>150</v>
      </c>
      <c r="G47" s="780" t="s">
        <v>151</v>
      </c>
      <c r="H47" s="781"/>
      <c r="I47" s="785">
        <v>0.1</v>
      </c>
      <c r="J47" s="736">
        <v>0.2</v>
      </c>
      <c r="K47" s="736">
        <v>0.4</v>
      </c>
      <c r="L47" s="736">
        <v>0.6</v>
      </c>
      <c r="M47" s="736">
        <v>0.8</v>
      </c>
      <c r="N47" s="778">
        <v>1</v>
      </c>
      <c r="O47" s="103" t="s">
        <v>152</v>
      </c>
      <c r="P47" s="103" t="s">
        <v>153</v>
      </c>
      <c r="Q47" s="126" t="s">
        <v>154</v>
      </c>
    </row>
    <row r="48" spans="1:17" ht="18.75" customHeight="1" thickBot="1">
      <c r="A48" s="798"/>
      <c r="B48" s="798"/>
      <c r="C48" s="794"/>
      <c r="D48" s="800"/>
      <c r="E48" s="769"/>
      <c r="F48" s="771"/>
      <c r="G48" s="125" t="s">
        <v>149</v>
      </c>
      <c r="H48" s="124" t="s">
        <v>150</v>
      </c>
      <c r="I48" s="786"/>
      <c r="J48" s="737"/>
      <c r="K48" s="737"/>
      <c r="L48" s="737"/>
      <c r="M48" s="737"/>
      <c r="N48" s="779"/>
      <c r="O48" s="123" t="s">
        <v>155</v>
      </c>
      <c r="P48" s="123" t="s">
        <v>92</v>
      </c>
      <c r="Q48" s="122" t="s">
        <v>156</v>
      </c>
    </row>
    <row r="49" spans="1:23" ht="32.25" customHeight="1" thickTop="1">
      <c r="A49" s="104" t="s">
        <v>157</v>
      </c>
      <c r="B49" s="803" t="s">
        <v>158</v>
      </c>
      <c r="C49" s="121" t="s">
        <v>157</v>
      </c>
      <c r="D49" s="117">
        <v>350</v>
      </c>
      <c r="E49" s="114">
        <v>0.41</v>
      </c>
      <c r="F49" s="113">
        <v>0.1</v>
      </c>
      <c r="G49" s="100">
        <v>0.74099999999999999</v>
      </c>
      <c r="H49" s="116">
        <v>2.74</v>
      </c>
      <c r="I49" s="98">
        <v>2.74</v>
      </c>
      <c r="J49" s="97">
        <v>1.44</v>
      </c>
      <c r="K49" s="97">
        <v>0.75800000000000001</v>
      </c>
      <c r="L49" s="97">
        <v>0.52100000000000002</v>
      </c>
      <c r="M49" s="97">
        <v>0.39900000000000002</v>
      </c>
      <c r="N49" s="95">
        <v>0.32400000000000001</v>
      </c>
      <c r="O49" s="795">
        <v>34.6</v>
      </c>
      <c r="P49" s="795">
        <v>1.83E-2</v>
      </c>
      <c r="Q49" s="801">
        <v>2.3216600000000001</v>
      </c>
    </row>
    <row r="50" spans="1:23" ht="32.25" customHeight="1">
      <c r="A50" s="104" t="s">
        <v>159</v>
      </c>
      <c r="B50" s="729"/>
      <c r="C50" s="120">
        <v>1999</v>
      </c>
      <c r="D50" s="101">
        <v>1000</v>
      </c>
      <c r="E50" s="114">
        <v>0.32</v>
      </c>
      <c r="F50" s="113">
        <v>0.1</v>
      </c>
      <c r="G50" s="100">
        <v>0.47199999999999998</v>
      </c>
      <c r="H50" s="116">
        <v>1.39</v>
      </c>
      <c r="I50" s="98">
        <v>1.39</v>
      </c>
      <c r="J50" s="110">
        <v>0.73</v>
      </c>
      <c r="K50" s="97">
        <v>0.38400000000000001</v>
      </c>
      <c r="L50" s="97">
        <v>0.26400000000000001</v>
      </c>
      <c r="M50" s="97">
        <v>0.20200000000000001</v>
      </c>
      <c r="N50" s="95">
        <v>0.16400000000000001</v>
      </c>
      <c r="O50" s="783"/>
      <c r="P50" s="783"/>
      <c r="Q50" s="791"/>
    </row>
    <row r="51" spans="1:23" ht="32.25" customHeight="1" thickBot="1">
      <c r="A51" s="93" t="s">
        <v>160</v>
      </c>
      <c r="B51" s="797"/>
      <c r="C51" s="119">
        <v>2000</v>
      </c>
      <c r="D51" s="91">
        <v>2000</v>
      </c>
      <c r="E51" s="90">
        <v>0.52</v>
      </c>
      <c r="F51" s="89">
        <v>0.24</v>
      </c>
      <c r="G51" s="88">
        <v>0.192</v>
      </c>
      <c r="H51" s="87">
        <v>0.39400000000000002</v>
      </c>
      <c r="I51" s="86">
        <v>0.88600000000000001</v>
      </c>
      <c r="J51" s="85">
        <v>0.46600000000000003</v>
      </c>
      <c r="K51" s="85">
        <v>0.245</v>
      </c>
      <c r="L51" s="85">
        <v>0.16800000000000001</v>
      </c>
      <c r="M51" s="85">
        <v>0.129</v>
      </c>
      <c r="N51" s="84">
        <v>0.105</v>
      </c>
      <c r="O51" s="796"/>
      <c r="P51" s="796"/>
      <c r="Q51" s="802"/>
      <c r="S51" s="118" t="s">
        <v>69</v>
      </c>
      <c r="T51" s="94" t="s">
        <v>77</v>
      </c>
    </row>
    <row r="52" spans="1:23" ht="32.25" customHeight="1" thickBot="1">
      <c r="A52" s="104" t="s">
        <v>159</v>
      </c>
      <c r="B52" s="728" t="s">
        <v>161</v>
      </c>
      <c r="C52" s="102" t="s">
        <v>162</v>
      </c>
      <c r="D52" s="117">
        <v>500</v>
      </c>
      <c r="E52" s="114">
        <v>0.36</v>
      </c>
      <c r="F52" s="113">
        <v>0.1</v>
      </c>
      <c r="G52" s="100">
        <v>0.59199999999999997</v>
      </c>
      <c r="H52" s="116">
        <v>1.67</v>
      </c>
      <c r="I52" s="98">
        <v>1.67</v>
      </c>
      <c r="J52" s="97">
        <v>0.95399999999999996</v>
      </c>
      <c r="K52" s="97">
        <v>0.54300000000000004</v>
      </c>
      <c r="L52" s="97">
        <v>0.39100000000000001</v>
      </c>
      <c r="M52" s="97">
        <v>0.309</v>
      </c>
      <c r="N52" s="95">
        <v>0.25800000000000001</v>
      </c>
      <c r="O52" s="782">
        <v>37.700000000000003</v>
      </c>
      <c r="P52" s="782">
        <v>1.8700000000000001E-2</v>
      </c>
      <c r="Q52" s="790">
        <v>2.5849633333333299</v>
      </c>
      <c r="S52" s="78" t="s">
        <v>79</v>
      </c>
    </row>
    <row r="53" spans="1:23" ht="32.25" customHeight="1" thickBot="1">
      <c r="A53" s="104" t="s">
        <v>160</v>
      </c>
      <c r="B53" s="729"/>
      <c r="C53" s="102" t="s">
        <v>163</v>
      </c>
      <c r="D53" s="101">
        <v>1500</v>
      </c>
      <c r="E53" s="114">
        <v>0.42</v>
      </c>
      <c r="F53" s="113">
        <v>0.17</v>
      </c>
      <c r="G53" s="100">
        <v>0.255</v>
      </c>
      <c r="H53" s="115">
        <v>0.53</v>
      </c>
      <c r="I53" s="98">
        <v>0.81599999999999995</v>
      </c>
      <c r="J53" s="97">
        <v>0.46500000000000002</v>
      </c>
      <c r="K53" s="97">
        <v>0.26500000000000001</v>
      </c>
      <c r="L53" s="97">
        <v>0.191</v>
      </c>
      <c r="M53" s="97">
        <v>0.151</v>
      </c>
      <c r="N53" s="95">
        <v>0.126</v>
      </c>
      <c r="O53" s="783"/>
      <c r="P53" s="783"/>
      <c r="Q53" s="791"/>
      <c r="T53" s="111">
        <v>1900</v>
      </c>
      <c r="U53" s="78" t="s">
        <v>80</v>
      </c>
    </row>
    <row r="54" spans="1:23" ht="32.25" customHeight="1" thickBot="1">
      <c r="A54" s="104"/>
      <c r="B54" s="729"/>
      <c r="C54" s="102" t="s">
        <v>164</v>
      </c>
      <c r="D54" s="101">
        <v>3000</v>
      </c>
      <c r="E54" s="114">
        <v>0.57999999999999996</v>
      </c>
      <c r="F54" s="113">
        <v>0.39</v>
      </c>
      <c r="G54" s="100">
        <v>0.124</v>
      </c>
      <c r="H54" s="108">
        <v>0.17199999999999999</v>
      </c>
      <c r="I54" s="98">
        <v>0.51900000000000002</v>
      </c>
      <c r="J54" s="97">
        <v>0.29499999999999998</v>
      </c>
      <c r="K54" s="97">
        <v>0.16800000000000001</v>
      </c>
      <c r="L54" s="97">
        <v>0.121</v>
      </c>
      <c r="M54" s="97">
        <v>9.5799999999999996E-2</v>
      </c>
      <c r="N54" s="107">
        <v>0.08</v>
      </c>
      <c r="O54" s="783"/>
      <c r="P54" s="783"/>
      <c r="Q54" s="791"/>
      <c r="S54" s="112" t="s">
        <v>74</v>
      </c>
      <c r="T54" s="80">
        <f>VLOOKUP(T53,T60:U67,2)</f>
        <v>1500</v>
      </c>
      <c r="U54" s="78" t="s">
        <v>80</v>
      </c>
    </row>
    <row r="55" spans="1:23" ht="32.25" customHeight="1" thickBot="1">
      <c r="A55" s="104"/>
      <c r="B55" s="729"/>
      <c r="C55" s="102" t="s">
        <v>165</v>
      </c>
      <c r="D55" s="101">
        <v>5000</v>
      </c>
      <c r="E55" s="772">
        <v>0.62</v>
      </c>
      <c r="F55" s="775">
        <v>0.49</v>
      </c>
      <c r="G55" s="100">
        <v>8.4400000000000003E-2</v>
      </c>
      <c r="H55" s="108">
        <v>0.10199999999999999</v>
      </c>
      <c r="I55" s="98">
        <v>0.371</v>
      </c>
      <c r="J55" s="97">
        <v>0.21199999999999999</v>
      </c>
      <c r="K55" s="110">
        <v>0.12</v>
      </c>
      <c r="L55" s="97">
        <v>8.6699999999999999E-2</v>
      </c>
      <c r="M55" s="97">
        <v>6.8599999999999994E-2</v>
      </c>
      <c r="N55" s="95">
        <v>5.7299999999999997E-2</v>
      </c>
      <c r="O55" s="783"/>
      <c r="P55" s="783"/>
      <c r="Q55" s="791"/>
      <c r="S55" s="112" t="s">
        <v>81</v>
      </c>
      <c r="T55" s="111">
        <v>100</v>
      </c>
      <c r="U55" s="78" t="s">
        <v>82</v>
      </c>
    </row>
    <row r="56" spans="1:23" ht="32.25" customHeight="1" thickBot="1">
      <c r="A56" s="104"/>
      <c r="B56" s="729"/>
      <c r="C56" s="102" t="s">
        <v>166</v>
      </c>
      <c r="D56" s="101">
        <v>7000</v>
      </c>
      <c r="E56" s="773"/>
      <c r="F56" s="776"/>
      <c r="G56" s="100">
        <v>6.7699999999999996E-2</v>
      </c>
      <c r="H56" s="99">
        <v>8.2000000000000003E-2</v>
      </c>
      <c r="I56" s="98">
        <v>0.29799999999999999</v>
      </c>
      <c r="J56" s="110">
        <v>0.17</v>
      </c>
      <c r="K56" s="97">
        <v>9.6699999999999994E-2</v>
      </c>
      <c r="L56" s="97">
        <v>6.9599999999999995E-2</v>
      </c>
      <c r="M56" s="97">
        <v>5.5100000000000003E-2</v>
      </c>
      <c r="N56" s="95">
        <v>4.5900000000000003E-2</v>
      </c>
      <c r="O56" s="783"/>
      <c r="P56" s="783"/>
      <c r="Q56" s="791"/>
      <c r="S56" s="94" t="s">
        <v>75</v>
      </c>
      <c r="T56" s="78" t="s">
        <v>83</v>
      </c>
      <c r="U56" s="78" t="s">
        <v>84</v>
      </c>
      <c r="V56" s="109" t="s">
        <v>85</v>
      </c>
      <c r="W56" s="78" t="s">
        <v>87</v>
      </c>
    </row>
    <row r="57" spans="1:23" ht="32.25" customHeight="1" thickBot="1">
      <c r="A57" s="104"/>
      <c r="B57" s="729"/>
      <c r="C57" s="102" t="s">
        <v>167</v>
      </c>
      <c r="D57" s="101">
        <v>9000</v>
      </c>
      <c r="E57" s="773"/>
      <c r="F57" s="776"/>
      <c r="G57" s="100">
        <v>5.7500000000000002E-2</v>
      </c>
      <c r="H57" s="108">
        <v>6.9599999999999995E-2</v>
      </c>
      <c r="I57" s="98">
        <v>0.253</v>
      </c>
      <c r="J57" s="97">
        <v>0.14399999999999999</v>
      </c>
      <c r="K57" s="96">
        <v>8.2000000000000003E-2</v>
      </c>
      <c r="L57" s="97">
        <v>5.8999999999999997E-2</v>
      </c>
      <c r="M57" s="97">
        <v>4.6699999999999998E-2</v>
      </c>
      <c r="N57" s="107">
        <v>3.9E-2</v>
      </c>
      <c r="O57" s="783"/>
      <c r="P57" s="783"/>
      <c r="Q57" s="791"/>
      <c r="S57" s="106">
        <f>ROUND(EXP(2.71-0.812*LN(T55/100)-0.654*LN(T54)),4)</f>
        <v>0.1258</v>
      </c>
      <c r="T57" s="78">
        <v>37.700000000000003</v>
      </c>
      <c r="U57" s="78">
        <v>1.8700000000000001E-2</v>
      </c>
      <c r="V57" s="78">
        <f>44/12</f>
        <v>3.6666666666666665</v>
      </c>
      <c r="W57" s="105">
        <f>S57*T57*U57*V57/1000</f>
        <v>3.2518838733333334E-4</v>
      </c>
    </row>
    <row r="58" spans="1:23" ht="32.25" customHeight="1">
      <c r="A58" s="104"/>
      <c r="B58" s="729"/>
      <c r="C58" s="102" t="s">
        <v>168</v>
      </c>
      <c r="D58" s="101">
        <v>11000</v>
      </c>
      <c r="E58" s="773"/>
      <c r="F58" s="776"/>
      <c r="G58" s="100">
        <v>5.04E-2</v>
      </c>
      <c r="H58" s="99">
        <v>6.0999999999999999E-2</v>
      </c>
      <c r="I58" s="98">
        <v>0.222</v>
      </c>
      <c r="J58" s="97">
        <v>0.126</v>
      </c>
      <c r="K58" s="97">
        <v>7.1900000000000006E-2</v>
      </c>
      <c r="L58" s="97">
        <v>5.1799999999999999E-2</v>
      </c>
      <c r="M58" s="96">
        <v>4.1000000000000002E-2</v>
      </c>
      <c r="N58" s="95">
        <v>3.4200000000000001E-2</v>
      </c>
      <c r="O58" s="783"/>
      <c r="P58" s="783"/>
      <c r="Q58" s="791"/>
      <c r="S58" s="94" t="s">
        <v>90</v>
      </c>
      <c r="T58" s="94" t="s">
        <v>91</v>
      </c>
      <c r="U58" s="78" t="s">
        <v>92</v>
      </c>
      <c r="W58" s="78" t="s">
        <v>93</v>
      </c>
    </row>
    <row r="59" spans="1:23" ht="32.25" customHeight="1" thickBot="1">
      <c r="A59" s="93"/>
      <c r="B59" s="797"/>
      <c r="C59" s="92" t="s">
        <v>169</v>
      </c>
      <c r="D59" s="91">
        <v>14500</v>
      </c>
      <c r="E59" s="774"/>
      <c r="F59" s="777"/>
      <c r="G59" s="88">
        <v>4.2099999999999999E-2</v>
      </c>
      <c r="H59" s="87">
        <v>5.0900000000000001E-2</v>
      </c>
      <c r="I59" s="86">
        <v>0.185</v>
      </c>
      <c r="J59" s="85">
        <v>0.105</v>
      </c>
      <c r="K59" s="85">
        <v>6.0100000000000001E-2</v>
      </c>
      <c r="L59" s="85">
        <v>4.3200000000000002E-2</v>
      </c>
      <c r="M59" s="85">
        <v>3.4200000000000001E-2</v>
      </c>
      <c r="N59" s="84">
        <v>2.8500000000000001E-2</v>
      </c>
      <c r="O59" s="784"/>
      <c r="P59" s="784"/>
      <c r="Q59" s="792"/>
    </row>
    <row r="60" spans="1:23">
      <c r="A60" s="82" t="s">
        <v>134</v>
      </c>
      <c r="B60" s="767" t="s">
        <v>170</v>
      </c>
      <c r="C60" s="767"/>
      <c r="D60" s="767"/>
      <c r="E60" s="767"/>
      <c r="F60" s="767"/>
      <c r="G60" s="767"/>
      <c r="H60" s="767"/>
      <c r="I60" s="767"/>
      <c r="J60" s="767"/>
      <c r="K60" s="767"/>
      <c r="L60" s="767"/>
      <c r="M60" s="767"/>
      <c r="N60" s="767"/>
      <c r="O60" s="767"/>
      <c r="P60" s="767"/>
      <c r="Q60" s="767"/>
      <c r="T60" s="80">
        <v>0</v>
      </c>
      <c r="U60" s="80">
        <v>500</v>
      </c>
    </row>
    <row r="61" spans="1:23">
      <c r="A61" s="82" t="s">
        <v>171</v>
      </c>
      <c r="B61" s="766" t="s">
        <v>172</v>
      </c>
      <c r="C61" s="766"/>
      <c r="D61" s="766"/>
      <c r="E61" s="766"/>
      <c r="F61" s="766"/>
      <c r="G61" s="766"/>
      <c r="H61" s="766"/>
      <c r="I61" s="766"/>
      <c r="J61" s="766"/>
      <c r="K61" s="766"/>
      <c r="L61" s="766"/>
      <c r="M61" s="766"/>
      <c r="N61" s="766"/>
      <c r="O61" s="766"/>
      <c r="P61" s="766"/>
      <c r="Q61" s="766"/>
      <c r="T61" s="80">
        <v>1000</v>
      </c>
      <c r="U61" s="80">
        <v>1500</v>
      </c>
    </row>
    <row r="62" spans="1:23">
      <c r="A62" s="83"/>
      <c r="B62" s="766"/>
      <c r="C62" s="766"/>
      <c r="D62" s="766"/>
      <c r="E62" s="766"/>
      <c r="F62" s="766"/>
      <c r="G62" s="766"/>
      <c r="H62" s="766"/>
      <c r="I62" s="766"/>
      <c r="J62" s="766"/>
      <c r="K62" s="766"/>
      <c r="L62" s="766"/>
      <c r="M62" s="766"/>
      <c r="N62" s="766"/>
      <c r="O62" s="766"/>
      <c r="P62" s="766"/>
      <c r="Q62" s="766"/>
      <c r="T62" s="80">
        <v>2000</v>
      </c>
      <c r="U62" s="80">
        <v>3000</v>
      </c>
    </row>
    <row r="63" spans="1:23">
      <c r="A63" s="82" t="s">
        <v>173</v>
      </c>
      <c r="B63" s="766" t="s">
        <v>174</v>
      </c>
      <c r="C63" s="766"/>
      <c r="D63" s="766"/>
      <c r="E63" s="766"/>
      <c r="F63" s="766"/>
      <c r="G63" s="766"/>
      <c r="H63" s="766"/>
      <c r="I63" s="766"/>
      <c r="J63" s="766"/>
      <c r="K63" s="766"/>
      <c r="L63" s="766"/>
      <c r="M63" s="766"/>
      <c r="N63" s="766"/>
      <c r="O63" s="766"/>
      <c r="P63" s="766"/>
      <c r="Q63" s="766"/>
      <c r="T63" s="80">
        <v>4000</v>
      </c>
      <c r="U63" s="80">
        <v>5000</v>
      </c>
    </row>
    <row r="64" spans="1:23">
      <c r="A64" s="83"/>
      <c r="B64" s="766"/>
      <c r="C64" s="766"/>
      <c r="D64" s="766"/>
      <c r="E64" s="766"/>
      <c r="F64" s="766"/>
      <c r="G64" s="766"/>
      <c r="H64" s="766"/>
      <c r="I64" s="766"/>
      <c r="J64" s="766"/>
      <c r="K64" s="766"/>
      <c r="L64" s="766"/>
      <c r="M64" s="766"/>
      <c r="N64" s="766"/>
      <c r="O64" s="766"/>
      <c r="P64" s="766"/>
      <c r="Q64" s="766"/>
      <c r="T64" s="80">
        <v>6000</v>
      </c>
      <c r="U64" s="80">
        <v>7000</v>
      </c>
    </row>
    <row r="65" spans="1:21">
      <c r="A65" s="82" t="s">
        <v>175</v>
      </c>
      <c r="B65" s="766" t="s">
        <v>176</v>
      </c>
      <c r="C65" s="766"/>
      <c r="D65" s="766"/>
      <c r="E65" s="766"/>
      <c r="F65" s="766"/>
      <c r="G65" s="766"/>
      <c r="H65" s="766"/>
      <c r="I65" s="766"/>
      <c r="J65" s="766"/>
      <c r="K65" s="766"/>
      <c r="L65" s="766"/>
      <c r="M65" s="766"/>
      <c r="N65" s="766"/>
      <c r="O65" s="766"/>
      <c r="P65" s="766"/>
      <c r="Q65" s="766"/>
      <c r="T65" s="80">
        <v>8000</v>
      </c>
      <c r="U65" s="80">
        <v>9000</v>
      </c>
    </row>
    <row r="66" spans="1:21">
      <c r="A66" s="83"/>
      <c r="B66" s="766" t="s">
        <v>177</v>
      </c>
      <c r="C66" s="766"/>
      <c r="D66" s="766"/>
      <c r="E66" s="766"/>
      <c r="F66" s="766"/>
      <c r="G66" s="766"/>
      <c r="H66" s="766"/>
      <c r="I66" s="766"/>
      <c r="J66" s="766"/>
      <c r="K66" s="766"/>
      <c r="L66" s="766"/>
      <c r="M66" s="766"/>
      <c r="N66" s="766"/>
      <c r="O66" s="766"/>
      <c r="P66" s="766"/>
      <c r="Q66" s="766"/>
      <c r="T66" s="80">
        <v>10000</v>
      </c>
      <c r="U66" s="80">
        <v>11000</v>
      </c>
    </row>
    <row r="67" spans="1:21">
      <c r="A67" s="82" t="s">
        <v>136</v>
      </c>
      <c r="B67" s="766" t="s">
        <v>178</v>
      </c>
      <c r="C67" s="766"/>
      <c r="D67" s="766"/>
      <c r="E67" s="766"/>
      <c r="F67" s="766"/>
      <c r="G67" s="766"/>
      <c r="H67" s="766"/>
      <c r="I67" s="766"/>
      <c r="J67" s="766"/>
      <c r="K67" s="766"/>
      <c r="L67" s="766"/>
      <c r="M67" s="766"/>
      <c r="N67" s="766"/>
      <c r="O67" s="766"/>
      <c r="P67" s="766"/>
      <c r="Q67" s="766"/>
      <c r="T67" s="80">
        <v>12000</v>
      </c>
      <c r="U67" s="80">
        <v>14500</v>
      </c>
    </row>
    <row r="68" spans="1:21">
      <c r="T68" s="80">
        <v>17000</v>
      </c>
    </row>
    <row r="168" spans="3:3">
      <c r="C168" s="79"/>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4"/>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sheetPr>
    <pageSetUpPr fitToPage="1"/>
  </sheetPr>
  <dimension ref="A1:Q38"/>
  <sheetViews>
    <sheetView workbookViewId="0">
      <selection activeCell="B5" sqref="B5"/>
    </sheetView>
  </sheetViews>
  <sheetFormatPr defaultRowHeight="13.5"/>
  <cols>
    <col min="1" max="1" width="16.75" style="26" customWidth="1"/>
    <col min="2" max="2" width="25" style="26" customWidth="1"/>
    <col min="3" max="3" width="17.625" style="26" customWidth="1"/>
    <col min="4" max="4" width="9.5" style="26" bestFit="1" customWidth="1"/>
    <col min="5" max="5" width="14.375" style="26" customWidth="1"/>
    <col min="6" max="6" width="11.875" style="26" customWidth="1"/>
    <col min="7" max="7" width="10.125" style="26" customWidth="1"/>
    <col min="8" max="8" width="15.875" style="26" customWidth="1"/>
    <col min="9" max="10" width="9" style="26"/>
    <col min="11" max="11" width="10.5" style="26" customWidth="1"/>
    <col min="12" max="12" width="10.75" style="26" customWidth="1"/>
    <col min="13" max="13" width="11.125" style="26" customWidth="1"/>
    <col min="14" max="14" width="10.25" style="26" customWidth="1"/>
    <col min="15" max="16" width="9" style="26"/>
    <col min="17" max="17" width="24.375" style="26" customWidth="1"/>
    <col min="18" max="16384" width="9" style="26"/>
  </cols>
  <sheetData>
    <row r="1" spans="1:17" ht="26.25" customHeight="1">
      <c r="B1" s="61"/>
      <c r="C1" s="60" t="s">
        <v>28</v>
      </c>
      <c r="D1" s="60"/>
      <c r="E1" s="60"/>
      <c r="F1" s="59"/>
      <c r="H1" s="58">
        <v>0.441</v>
      </c>
    </row>
    <row r="2" spans="1:17">
      <c r="A2" s="26" t="s">
        <v>179</v>
      </c>
      <c r="B2" s="57" t="s">
        <v>180</v>
      </c>
      <c r="C2" s="57" t="s">
        <v>181</v>
      </c>
      <c r="D2" s="57" t="s">
        <v>182</v>
      </c>
      <c r="E2" s="57" t="s">
        <v>183</v>
      </c>
      <c r="F2" s="57" t="s">
        <v>184</v>
      </c>
    </row>
    <row r="3" spans="1:17" ht="30.2" customHeight="1">
      <c r="A3" s="292" t="s">
        <v>264</v>
      </c>
      <c r="B3" s="54" t="s">
        <v>36</v>
      </c>
      <c r="C3" s="52">
        <v>2.02</v>
      </c>
      <c r="D3" s="52">
        <v>3.14</v>
      </c>
      <c r="E3" s="51">
        <f t="shared" ref="E3:E14" si="0">-G3</f>
        <v>-1.1299999999999999</v>
      </c>
      <c r="F3" s="50">
        <v>46000</v>
      </c>
      <c r="G3" s="26">
        <f t="shared" ref="G3:G14" si="1">ROUND((F3*0.2)/3600*$H$1,2)</f>
        <v>1.1299999999999999</v>
      </c>
      <c r="J3" s="56"/>
    </row>
    <row r="4" spans="1:17" ht="30.2" customHeight="1">
      <c r="A4" s="292" t="s">
        <v>265</v>
      </c>
      <c r="B4" s="54" t="s">
        <v>233</v>
      </c>
      <c r="C4" s="52">
        <v>1.96</v>
      </c>
      <c r="D4" s="52">
        <v>3.14</v>
      </c>
      <c r="E4" s="51">
        <f t="shared" si="0"/>
        <v>-1.1299999999999999</v>
      </c>
      <c r="F4" s="50">
        <v>46000</v>
      </c>
      <c r="G4" s="26">
        <f t="shared" si="1"/>
        <v>1.1299999999999999</v>
      </c>
    </row>
    <row r="5" spans="1:17" ht="30.2" customHeight="1">
      <c r="A5" s="292" t="s">
        <v>266</v>
      </c>
      <c r="B5" s="54" t="s">
        <v>398</v>
      </c>
      <c r="C5" s="52">
        <v>2.0099999999999998</v>
      </c>
      <c r="D5" s="52">
        <v>3.14</v>
      </c>
      <c r="E5" s="51">
        <f t="shared" si="0"/>
        <v>-1.08</v>
      </c>
      <c r="F5" s="50">
        <v>44000</v>
      </c>
      <c r="G5" s="26">
        <f t="shared" si="1"/>
        <v>1.08</v>
      </c>
    </row>
    <row r="6" spans="1:17" ht="30.2" customHeight="1">
      <c r="A6" s="292" t="s">
        <v>267</v>
      </c>
      <c r="B6" s="54" t="s">
        <v>37</v>
      </c>
      <c r="C6" s="55">
        <v>3.05</v>
      </c>
      <c r="D6" s="52">
        <v>3.39</v>
      </c>
      <c r="E6" s="51">
        <f t="shared" si="0"/>
        <v>-0.98</v>
      </c>
      <c r="F6" s="50">
        <v>40200</v>
      </c>
      <c r="G6" s="26">
        <f t="shared" si="1"/>
        <v>0.98</v>
      </c>
    </row>
    <row r="7" spans="1:17" ht="30.2" customHeight="1">
      <c r="A7" s="292" t="s">
        <v>268</v>
      </c>
      <c r="B7" s="54" t="s">
        <v>234</v>
      </c>
      <c r="C7" s="52">
        <v>3.72</v>
      </c>
      <c r="D7" s="52">
        <v>3.39</v>
      </c>
      <c r="E7" s="51">
        <f t="shared" si="0"/>
        <v>-0.98</v>
      </c>
      <c r="F7" s="50">
        <v>40200</v>
      </c>
      <c r="G7" s="26">
        <f t="shared" si="1"/>
        <v>0.98</v>
      </c>
    </row>
    <row r="8" spans="1:17" ht="30.2" customHeight="1">
      <c r="A8" s="292" t="s">
        <v>269</v>
      </c>
      <c r="B8" s="54" t="s">
        <v>235</v>
      </c>
      <c r="C8" s="52">
        <v>3.39</v>
      </c>
      <c r="D8" s="52">
        <v>1.41</v>
      </c>
      <c r="E8" s="51">
        <f t="shared" si="0"/>
        <v>-0.59</v>
      </c>
      <c r="F8" s="50">
        <v>24100</v>
      </c>
      <c r="G8" s="26">
        <f t="shared" si="1"/>
        <v>0.59</v>
      </c>
    </row>
    <row r="9" spans="1:17" ht="30.2" customHeight="1">
      <c r="A9" s="292" t="s">
        <v>270</v>
      </c>
      <c r="B9" s="54" t="s">
        <v>321</v>
      </c>
      <c r="C9" s="52">
        <v>3.2</v>
      </c>
      <c r="D9" s="52">
        <v>2.29</v>
      </c>
      <c r="E9" s="51">
        <f t="shared" si="0"/>
        <v>-0.56000000000000005</v>
      </c>
      <c r="F9" s="50">
        <v>23000</v>
      </c>
      <c r="G9" s="26">
        <f t="shared" si="1"/>
        <v>0.56000000000000005</v>
      </c>
    </row>
    <row r="10" spans="1:17" ht="30.2" customHeight="1">
      <c r="A10" s="292" t="s">
        <v>271</v>
      </c>
      <c r="B10" s="53" t="s">
        <v>236</v>
      </c>
      <c r="C10" s="52">
        <v>4.92</v>
      </c>
      <c r="D10" s="52">
        <v>2.02</v>
      </c>
      <c r="E10" s="51">
        <f t="shared" si="0"/>
        <v>-0.78</v>
      </c>
      <c r="F10" s="50">
        <v>32000</v>
      </c>
      <c r="G10" s="26">
        <f t="shared" si="1"/>
        <v>0.78</v>
      </c>
    </row>
    <row r="11" spans="1:17" ht="30.2" customHeight="1">
      <c r="A11" s="292" t="s">
        <v>272</v>
      </c>
      <c r="B11" s="53" t="s">
        <v>237</v>
      </c>
      <c r="C11" s="52">
        <v>16.2</v>
      </c>
      <c r="D11" s="52">
        <v>2.34</v>
      </c>
      <c r="E11" s="51">
        <f t="shared" si="0"/>
        <v>-0.78</v>
      </c>
      <c r="F11" s="50">
        <v>32000</v>
      </c>
      <c r="G11" s="26">
        <f t="shared" si="1"/>
        <v>0.78</v>
      </c>
    </row>
    <row r="12" spans="1:17" ht="30.2" customHeight="1">
      <c r="A12" s="292" t="s">
        <v>273</v>
      </c>
      <c r="B12" s="53" t="s">
        <v>238</v>
      </c>
      <c r="C12" s="52">
        <v>3.13</v>
      </c>
      <c r="D12" s="52">
        <v>2.77</v>
      </c>
      <c r="E12" s="51">
        <f t="shared" si="0"/>
        <v>-0.93</v>
      </c>
      <c r="F12" s="50">
        <v>37900</v>
      </c>
      <c r="G12" s="26">
        <f t="shared" si="1"/>
        <v>0.93</v>
      </c>
    </row>
    <row r="13" spans="1:17" ht="30.2" customHeight="1" thickBot="1">
      <c r="A13" s="292" t="s">
        <v>274</v>
      </c>
      <c r="B13" s="53" t="s">
        <v>239</v>
      </c>
      <c r="C13" s="52">
        <v>8.82</v>
      </c>
      <c r="D13" s="52">
        <v>3.13</v>
      </c>
      <c r="E13" s="51">
        <f t="shared" si="0"/>
        <v>-0.72</v>
      </c>
      <c r="F13" s="50">
        <v>29200</v>
      </c>
      <c r="G13" s="26">
        <f t="shared" si="1"/>
        <v>0.72</v>
      </c>
      <c r="H13" s="26" t="s">
        <v>327</v>
      </c>
    </row>
    <row r="14" spans="1:17" ht="30.2" customHeight="1" thickBot="1">
      <c r="A14" s="293" t="s">
        <v>326</v>
      </c>
      <c r="B14" s="53" t="s">
        <v>325</v>
      </c>
      <c r="C14" s="52">
        <v>1.4</v>
      </c>
      <c r="D14" s="52">
        <v>2.99</v>
      </c>
      <c r="E14" s="51">
        <f t="shared" si="0"/>
        <v>-0.94</v>
      </c>
      <c r="F14" s="50">
        <v>38300</v>
      </c>
      <c r="G14" s="26">
        <f t="shared" si="1"/>
        <v>0.94</v>
      </c>
      <c r="H14" s="374" t="s">
        <v>297</v>
      </c>
      <c r="I14" s="375" t="s">
        <v>298</v>
      </c>
      <c r="J14" s="376" t="s">
        <v>181</v>
      </c>
      <c r="K14" s="376" t="s">
        <v>182</v>
      </c>
      <c r="L14" s="376" t="s">
        <v>183</v>
      </c>
      <c r="M14" s="377" t="s">
        <v>184</v>
      </c>
      <c r="N14" s="332" t="s">
        <v>300</v>
      </c>
      <c r="Q14" s="26" t="s">
        <v>341</v>
      </c>
    </row>
    <row r="15" spans="1:17" ht="30.2" customHeight="1">
      <c r="A15" s="373" t="s">
        <v>299</v>
      </c>
      <c r="B15" s="53" t="s">
        <v>328</v>
      </c>
      <c r="C15" s="401">
        <v>2.66</v>
      </c>
      <c r="D15" s="433">
        <f>K15</f>
        <v>1.9</v>
      </c>
      <c r="E15" s="419">
        <f t="shared" ref="E15:E23" si="2">-L15</f>
        <v>-0.47</v>
      </c>
      <c r="F15" s="50"/>
      <c r="G15" s="26">
        <f>ROUND((F15*0.2)/3600*$H$1,2)</f>
        <v>0</v>
      </c>
      <c r="H15" s="378">
        <v>0.83099999999999996</v>
      </c>
      <c r="I15" s="34">
        <v>2.4300000000000002</v>
      </c>
      <c r="J15" s="34">
        <f>ROUND(H15*I15,2)</f>
        <v>2.02</v>
      </c>
      <c r="K15" s="431">
        <f>ROUND(2.29*H15,2)</f>
        <v>1.9</v>
      </c>
      <c r="L15" s="428">
        <f t="shared" ref="L15" si="3">ROUND(H15*(M15*0.2)/3600*$H$1,2)</f>
        <v>0.47</v>
      </c>
      <c r="M15" s="379">
        <v>23000</v>
      </c>
      <c r="N15" s="386">
        <f>K15-L15</f>
        <v>1.43</v>
      </c>
      <c r="O15" s="421">
        <v>2.66</v>
      </c>
      <c r="P15" s="26">
        <v>2.02</v>
      </c>
    </row>
    <row r="16" spans="1:17" ht="30.2" customHeight="1">
      <c r="A16" s="373" t="s">
        <v>299</v>
      </c>
      <c r="B16" s="53" t="s">
        <v>329</v>
      </c>
      <c r="C16" s="401">
        <v>0.54</v>
      </c>
      <c r="D16" s="433">
        <v>0.39</v>
      </c>
      <c r="E16" s="419">
        <f t="shared" si="2"/>
        <v>-0.1</v>
      </c>
      <c r="F16" s="50"/>
      <c r="G16" s="26">
        <f>ROUND((F16*0.2)/3600*$H$1,2)</f>
        <v>0</v>
      </c>
      <c r="H16" s="378">
        <v>0.16900000000000001</v>
      </c>
      <c r="I16" s="34">
        <v>2.4300000000000002</v>
      </c>
      <c r="J16" s="34">
        <v>0.41</v>
      </c>
      <c r="K16" s="431">
        <f>ROUND(2.29*H16,3)</f>
        <v>0.38700000000000001</v>
      </c>
      <c r="L16" s="428">
        <f t="shared" ref="L16" si="4">ROUND(H16*(M16*0.2)/3600*$H$1,2)</f>
        <v>0.1</v>
      </c>
      <c r="M16" s="379">
        <v>23000</v>
      </c>
      <c r="N16" s="386">
        <f>K16-L16</f>
        <v>0.28700000000000003</v>
      </c>
      <c r="O16" s="422">
        <v>0.54</v>
      </c>
      <c r="P16" s="26">
        <v>0.41</v>
      </c>
      <c r="Q16" s="425" t="s">
        <v>275</v>
      </c>
    </row>
    <row r="17" spans="1:17" ht="30.2" customHeight="1" thickBot="1">
      <c r="A17" s="373" t="s">
        <v>299</v>
      </c>
      <c r="B17" s="371" t="s">
        <v>330</v>
      </c>
      <c r="C17" s="439">
        <v>5.2999999999999999E-2</v>
      </c>
      <c r="D17" s="434">
        <v>0.04</v>
      </c>
      <c r="E17" s="420">
        <f t="shared" si="2"/>
        <v>-0.01</v>
      </c>
      <c r="F17" s="372"/>
      <c r="G17" s="26">
        <f>ROUND((F17*0.2)/3600*$H$1,2)</f>
        <v>0</v>
      </c>
      <c r="H17" s="378">
        <v>1.6E-2</v>
      </c>
      <c r="I17" s="34">
        <v>2.4300000000000002</v>
      </c>
      <c r="J17" s="34">
        <v>0.04</v>
      </c>
      <c r="K17" s="431">
        <f>ROUND(2.29*H17,3)</f>
        <v>3.6999999999999998E-2</v>
      </c>
      <c r="L17" s="428">
        <f>ROUND(H17*(M17*0.2)/3600*$H$1,2)</f>
        <v>0.01</v>
      </c>
      <c r="M17" s="379">
        <v>23000</v>
      </c>
      <c r="N17" s="386">
        <f t="shared" ref="N17:N24" si="5">K17-L17</f>
        <v>2.6999999999999996E-2</v>
      </c>
      <c r="O17" s="423">
        <v>5.2999999999999999E-2</v>
      </c>
      <c r="P17" s="26">
        <v>0.04</v>
      </c>
      <c r="Q17" s="426" t="s">
        <v>276</v>
      </c>
    </row>
    <row r="18" spans="1:17" ht="30.2" customHeight="1" thickTop="1">
      <c r="A18" s="373" t="s">
        <v>299</v>
      </c>
      <c r="B18" s="54" t="s">
        <v>331</v>
      </c>
      <c r="C18" s="402">
        <f t="shared" ref="C18:D23" si="6">J18</f>
        <v>0.34</v>
      </c>
      <c r="D18" s="433">
        <f t="shared" si="6"/>
        <v>0.53100000000000003</v>
      </c>
      <c r="E18" s="369">
        <f t="shared" si="2"/>
        <v>-0.19</v>
      </c>
      <c r="F18" s="370"/>
      <c r="H18" s="378">
        <v>0.16900000000000001</v>
      </c>
      <c r="I18" s="296">
        <v>2.0099999999999998</v>
      </c>
      <c r="J18" s="403">
        <f>ROUND(H18*I18,2)</f>
        <v>0.34</v>
      </c>
      <c r="K18" s="431">
        <f>ROUND(3.14*H18,3)</f>
        <v>0.53100000000000003</v>
      </c>
      <c r="L18" s="429">
        <f>ROUND(H18*(M18*0.2)/3600*$H$1,2)</f>
        <v>0.19</v>
      </c>
      <c r="M18" s="380">
        <f>ROUND(AVERAGE(F3:F5),-2)</f>
        <v>45300</v>
      </c>
      <c r="N18" s="386">
        <f t="shared" si="5"/>
        <v>0.34100000000000003</v>
      </c>
    </row>
    <row r="19" spans="1:17" ht="30.2" customHeight="1">
      <c r="A19" s="373" t="s">
        <v>299</v>
      </c>
      <c r="B19" s="54" t="s">
        <v>332</v>
      </c>
      <c r="C19" s="52">
        <f t="shared" si="6"/>
        <v>0.03</v>
      </c>
      <c r="D19" s="433">
        <f t="shared" si="6"/>
        <v>0.05</v>
      </c>
      <c r="E19" s="259">
        <f t="shared" si="2"/>
        <v>-0.02</v>
      </c>
      <c r="F19" s="50"/>
      <c r="H19" s="378">
        <v>1.6E-2</v>
      </c>
      <c r="I19" s="296">
        <v>2.0099999999999998</v>
      </c>
      <c r="J19" s="34">
        <f>ROUND(H19*I19,2)</f>
        <v>0.03</v>
      </c>
      <c r="K19" s="431">
        <f>ROUND(3.14*H19,3)</f>
        <v>0.05</v>
      </c>
      <c r="L19" s="429">
        <f>ROUND(H19*(M19*0.2)/3600*$H$1,2)</f>
        <v>0.02</v>
      </c>
      <c r="M19" s="380">
        <f>ROUND(AVERAGE(F3:F5),-2)</f>
        <v>45300</v>
      </c>
      <c r="N19" s="386">
        <f t="shared" si="5"/>
        <v>3.0000000000000002E-2</v>
      </c>
    </row>
    <row r="20" spans="1:17" ht="30.2" customHeight="1">
      <c r="A20" s="373" t="s">
        <v>299</v>
      </c>
      <c r="B20" s="54" t="s">
        <v>333</v>
      </c>
      <c r="C20" s="52">
        <f t="shared" si="6"/>
        <v>0.53</v>
      </c>
      <c r="D20" s="433">
        <f t="shared" si="6"/>
        <v>0.57299999999999995</v>
      </c>
      <c r="E20" s="259">
        <f t="shared" si="2"/>
        <v>-0.17</v>
      </c>
      <c r="F20" s="50"/>
      <c r="H20" s="378">
        <v>0.16900000000000001</v>
      </c>
      <c r="I20" s="34">
        <v>3.15</v>
      </c>
      <c r="J20" s="34">
        <f>ROUND(H20*I20,2)</f>
        <v>0.53</v>
      </c>
      <c r="K20" s="431">
        <f>ROUND(3.39*H20,3)</f>
        <v>0.57299999999999995</v>
      </c>
      <c r="L20" s="429">
        <f t="shared" ref="L20:L23" si="7">ROUND(H20*(M20*0.2)/3600*$H$1,2)</f>
        <v>0.17</v>
      </c>
      <c r="M20" s="381">
        <f>F6</f>
        <v>40200</v>
      </c>
      <c r="N20" s="386">
        <f t="shared" si="5"/>
        <v>0.40299999999999991</v>
      </c>
    </row>
    <row r="21" spans="1:17" ht="30.2" customHeight="1">
      <c r="A21" s="373" t="s">
        <v>299</v>
      </c>
      <c r="B21" s="54" t="s">
        <v>334</v>
      </c>
      <c r="C21" s="52">
        <f t="shared" si="6"/>
        <v>0.05</v>
      </c>
      <c r="D21" s="433">
        <f t="shared" si="6"/>
        <v>5.3999999999999999E-2</v>
      </c>
      <c r="E21" s="259">
        <f t="shared" si="2"/>
        <v>-0.02</v>
      </c>
      <c r="F21" s="50"/>
      <c r="H21" s="378">
        <v>1.6E-2</v>
      </c>
      <c r="I21" s="34">
        <v>3.15</v>
      </c>
      <c r="J21" s="34">
        <f>ROUND(H21*I21,2)</f>
        <v>0.05</v>
      </c>
      <c r="K21" s="431">
        <f>ROUND(3.39*H21,3)</f>
        <v>5.3999999999999999E-2</v>
      </c>
      <c r="L21" s="429">
        <f t="shared" si="7"/>
        <v>0.02</v>
      </c>
      <c r="M21" s="381">
        <f>F6</f>
        <v>40200</v>
      </c>
      <c r="N21" s="386">
        <f t="shared" si="5"/>
        <v>3.4000000000000002E-2</v>
      </c>
    </row>
    <row r="22" spans="1:17" ht="30.2" customHeight="1">
      <c r="A22" s="373" t="s">
        <v>299</v>
      </c>
      <c r="B22" s="54" t="s">
        <v>335</v>
      </c>
      <c r="C22" s="52">
        <f t="shared" si="6"/>
        <v>0.46800000000000003</v>
      </c>
      <c r="D22" s="433">
        <f t="shared" si="6"/>
        <v>0.46800000000000003</v>
      </c>
      <c r="E22" s="259">
        <f t="shared" si="2"/>
        <v>-0.16</v>
      </c>
      <c r="F22" s="50"/>
      <c r="H22" s="378">
        <v>0.16900000000000001</v>
      </c>
      <c r="I22" s="34">
        <v>2.77</v>
      </c>
      <c r="J22" s="34">
        <f t="shared" ref="J22" si="8">ROUND(H22*I22,3)</f>
        <v>0.46800000000000003</v>
      </c>
      <c r="K22" s="431">
        <f>ROUND(2.77*H22,3)</f>
        <v>0.46800000000000003</v>
      </c>
      <c r="L22" s="429">
        <f t="shared" si="7"/>
        <v>0.16</v>
      </c>
      <c r="M22" s="381">
        <f>F12</f>
        <v>37900</v>
      </c>
      <c r="N22" s="386">
        <f t="shared" si="5"/>
        <v>0.30800000000000005</v>
      </c>
    </row>
    <row r="23" spans="1:17" ht="30.2" customHeight="1" thickBot="1">
      <c r="A23" s="373" t="s">
        <v>299</v>
      </c>
      <c r="B23" s="54" t="s">
        <v>336</v>
      </c>
      <c r="C23" s="402">
        <f t="shared" si="6"/>
        <v>0.53</v>
      </c>
      <c r="D23" s="433">
        <f t="shared" si="6"/>
        <v>0.52900000000000003</v>
      </c>
      <c r="E23" s="259">
        <f t="shared" si="2"/>
        <v>-0.12</v>
      </c>
      <c r="F23" s="50"/>
      <c r="H23" s="382">
        <v>0.16900000000000001</v>
      </c>
      <c r="I23" s="383">
        <v>3.13</v>
      </c>
      <c r="J23" s="404">
        <f>ROUND(H23*I23,2)</f>
        <v>0.53</v>
      </c>
      <c r="K23" s="432">
        <f>ROUND(3.13*H23,3)</f>
        <v>0.52900000000000003</v>
      </c>
      <c r="L23" s="430">
        <f t="shared" si="7"/>
        <v>0.12</v>
      </c>
      <c r="M23" s="384">
        <f>F13</f>
        <v>29200</v>
      </c>
      <c r="N23" s="386">
        <f t="shared" si="5"/>
        <v>0.40900000000000003</v>
      </c>
    </row>
    <row r="24" spans="1:17" ht="30.2" customHeight="1">
      <c r="A24" s="292" t="s">
        <v>296</v>
      </c>
      <c r="B24" s="54" t="s">
        <v>337</v>
      </c>
      <c r="C24" s="52">
        <v>0.35</v>
      </c>
      <c r="D24" s="52">
        <v>2.2400000000000002</v>
      </c>
      <c r="E24" s="435">
        <f t="shared" ref="E24" si="9">-G24</f>
        <v>-0.82</v>
      </c>
      <c r="F24" s="50">
        <v>33600</v>
      </c>
      <c r="G24" s="26">
        <f>ROUND((F24*0.2)/3600*$H$1,2)</f>
        <v>0.82</v>
      </c>
      <c r="H24" s="452">
        <v>0.83099999999999996</v>
      </c>
      <c r="I24" s="453"/>
      <c r="J24" s="454" t="s">
        <v>301</v>
      </c>
      <c r="K24" s="455">
        <f>ROUND(2.99*H24,3)</f>
        <v>2.4849999999999999</v>
      </c>
      <c r="L24" s="456">
        <f>ROUND(H24*(M24*0.2)/3600*$H$1,2)</f>
        <v>0.78</v>
      </c>
      <c r="M24" s="457">
        <v>38300</v>
      </c>
      <c r="N24" s="386">
        <f t="shared" si="5"/>
        <v>1.7049999999999998</v>
      </c>
      <c r="O24" s="451" t="s">
        <v>355</v>
      </c>
    </row>
    <row r="25" spans="1:17" ht="30.2" customHeight="1">
      <c r="A25" s="373" t="s">
        <v>299</v>
      </c>
      <c r="B25" s="54" t="s">
        <v>338</v>
      </c>
      <c r="C25" s="52">
        <f>J27</f>
        <v>1.67</v>
      </c>
      <c r="D25" s="52">
        <f>K27</f>
        <v>2.61</v>
      </c>
      <c r="E25" s="436">
        <f>-L27</f>
        <v>-0.92</v>
      </c>
      <c r="F25" s="50"/>
      <c r="H25" s="378">
        <v>0.16900000000000001</v>
      </c>
      <c r="I25" s="34"/>
      <c r="J25" s="306" t="s">
        <v>301</v>
      </c>
      <c r="K25" s="447">
        <f>ROUND(2.99*H25,3)</f>
        <v>0.505</v>
      </c>
      <c r="L25" s="448">
        <f>ROUND(H25*(M25*0.2)/3600*$H$1,2)</f>
        <v>0.16</v>
      </c>
      <c r="M25" s="458">
        <v>38300</v>
      </c>
      <c r="N25" s="386">
        <f>K25-L25</f>
        <v>0.34499999999999997</v>
      </c>
      <c r="O25" s="451" t="s">
        <v>353</v>
      </c>
    </row>
    <row r="26" spans="1:17" ht="36.75" customHeight="1" thickBot="1">
      <c r="A26" s="373" t="s">
        <v>299</v>
      </c>
      <c r="B26" s="54" t="s">
        <v>339</v>
      </c>
      <c r="C26" s="52">
        <f>J28</f>
        <v>2.5299999999999998</v>
      </c>
      <c r="D26" s="52">
        <f>K28</f>
        <v>2.82</v>
      </c>
      <c r="E26" s="436">
        <f>-L28</f>
        <v>-0.82</v>
      </c>
      <c r="F26" s="50"/>
      <c r="H26" s="382">
        <v>1.6E-2</v>
      </c>
      <c r="I26" s="383"/>
      <c r="J26" s="459" t="s">
        <v>301</v>
      </c>
      <c r="K26" s="432">
        <f>ROUND(2.99*H26,3)</f>
        <v>4.8000000000000001E-2</v>
      </c>
      <c r="L26" s="430">
        <f>ROUND(H26*(M26*0.2)/3600*$H$1,2)</f>
        <v>0.02</v>
      </c>
      <c r="M26" s="384">
        <v>38300</v>
      </c>
      <c r="N26" s="386">
        <f>K26-L26</f>
        <v>2.8000000000000001E-2</v>
      </c>
      <c r="O26" s="451" t="s">
        <v>354</v>
      </c>
    </row>
    <row r="27" spans="1:17" ht="30.75" customHeight="1">
      <c r="A27" s="373" t="s">
        <v>317</v>
      </c>
      <c r="B27" s="54" t="s">
        <v>340</v>
      </c>
      <c r="C27" s="52">
        <v>0.26</v>
      </c>
      <c r="D27" s="52">
        <v>1.62</v>
      </c>
      <c r="E27" s="259">
        <f>-G27</f>
        <v>-0.61</v>
      </c>
      <c r="F27" s="50">
        <v>25000</v>
      </c>
      <c r="G27" s="26">
        <f>ROUND((F27*0.2)/3600*$H$1,2)</f>
        <v>0.61</v>
      </c>
      <c r="H27" s="396">
        <v>0.83099999999999996</v>
      </c>
      <c r="I27" s="397">
        <v>2.0099999999999998</v>
      </c>
      <c r="J27" s="398">
        <f>ROUND(H27*I27,2)</f>
        <v>1.67</v>
      </c>
      <c r="K27" s="398">
        <f>ROUND(3.14*H27,2)</f>
        <v>2.61</v>
      </c>
      <c r="L27" s="446">
        <f>ROUND(H27*(M27*0.2)/3600*$H$1,2)</f>
        <v>0.92</v>
      </c>
      <c r="M27" s="399">
        <v>45000</v>
      </c>
      <c r="N27" s="386">
        <f>K27-L27</f>
        <v>1.69</v>
      </c>
      <c r="O27" s="438" t="s">
        <v>338</v>
      </c>
    </row>
    <row r="28" spans="1:17" ht="33.75" customHeight="1" thickBot="1">
      <c r="A28" s="373" t="s">
        <v>299</v>
      </c>
      <c r="B28" s="34" t="s">
        <v>384</v>
      </c>
      <c r="C28" s="402">
        <f>J29</f>
        <v>0.24</v>
      </c>
      <c r="D28" s="433">
        <f>K29</f>
        <v>0.51</v>
      </c>
      <c r="E28" s="259">
        <f>-G28</f>
        <v>-0.19</v>
      </c>
      <c r="F28" s="50">
        <f>M29*H29</f>
        <v>7774.0000000000009</v>
      </c>
      <c r="G28" s="26">
        <f>ROUND((F28*0.2)/3600*$H$1,2)</f>
        <v>0.19</v>
      </c>
      <c r="H28" s="442">
        <v>0.83099999999999996</v>
      </c>
      <c r="I28" s="395">
        <v>3.05</v>
      </c>
      <c r="J28" s="383">
        <f>ROUND(H28*I28,2)</f>
        <v>2.5299999999999998</v>
      </c>
      <c r="K28" s="383">
        <f>ROUND(3.39*H28,2)</f>
        <v>2.82</v>
      </c>
      <c r="L28" s="430">
        <f t="shared" ref="L28:L29" si="10">ROUND(H28*(M28*0.2)/3600*$H$1,2)</f>
        <v>0.82</v>
      </c>
      <c r="M28" s="443">
        <v>40200</v>
      </c>
      <c r="N28" s="386">
        <f t="shared" ref="N28" si="11">K28-L28</f>
        <v>2</v>
      </c>
      <c r="O28" s="438" t="s">
        <v>339</v>
      </c>
    </row>
    <row r="29" spans="1:17" ht="37.5" customHeight="1" thickBot="1">
      <c r="A29" s="427" t="s">
        <v>341</v>
      </c>
      <c r="B29" s="34" t="s">
        <v>343</v>
      </c>
      <c r="C29" s="52">
        <v>2.4300000000000002</v>
      </c>
      <c r="D29" s="433">
        <v>2.29</v>
      </c>
      <c r="E29" s="437">
        <f>-G29</f>
        <v>-0.56000000000000005</v>
      </c>
      <c r="F29" s="50">
        <v>23000</v>
      </c>
      <c r="G29" s="26">
        <f>ROUND((F29*0.2)/3600*$H$1,2)</f>
        <v>0.56000000000000005</v>
      </c>
      <c r="H29" s="440">
        <v>0.16900000000000001</v>
      </c>
      <c r="I29" s="444">
        <v>1.4</v>
      </c>
      <c r="J29" s="470">
        <f>ROUND(H29*I29,2)</f>
        <v>0.24</v>
      </c>
      <c r="K29" s="441">
        <f>ROUND(2.99*H29,2)</f>
        <v>0.51</v>
      </c>
      <c r="L29" s="449">
        <f t="shared" si="10"/>
        <v>0.19</v>
      </c>
      <c r="M29" s="450">
        <v>46000</v>
      </c>
      <c r="O29" s="26" t="s">
        <v>384</v>
      </c>
    </row>
    <row r="30" spans="1:17">
      <c r="C30" s="338"/>
      <c r="E30" s="267" t="s">
        <v>247</v>
      </c>
      <c r="F30" s="424">
        <f>H1</f>
        <v>0.441</v>
      </c>
    </row>
    <row r="31" spans="1:17" s="78" customFormat="1">
      <c r="B31" s="260"/>
      <c r="C31" s="261" t="s">
        <v>240</v>
      </c>
      <c r="D31" s="261" t="s">
        <v>241</v>
      </c>
      <c r="E31" s="261" t="s">
        <v>183</v>
      </c>
      <c r="F31" s="261" t="s">
        <v>242</v>
      </c>
      <c r="H31" s="261" t="s">
        <v>243</v>
      </c>
      <c r="I31" s="260"/>
    </row>
    <row r="32" spans="1:17" s="78" customFormat="1" ht="17.25" customHeight="1">
      <c r="A32" s="78" t="s">
        <v>270</v>
      </c>
      <c r="B32" s="405" t="s">
        <v>322</v>
      </c>
      <c r="C32" s="410">
        <v>3.2</v>
      </c>
      <c r="D32" s="262">
        <v>2.29</v>
      </c>
      <c r="E32" s="263">
        <f>ROUND(F32*($H32*0.2)/3600*$F$30,3)</f>
        <v>0.56399999999999995</v>
      </c>
      <c r="F32" s="264">
        <v>1</v>
      </c>
      <c r="H32" s="411">
        <v>23000</v>
      </c>
      <c r="I32" s="412" t="s">
        <v>244</v>
      </c>
    </row>
    <row r="33" spans="1:14" s="78" customFormat="1" ht="17.25" customHeight="1" thickBot="1">
      <c r="A33" s="427" t="s">
        <v>341</v>
      </c>
      <c r="B33" s="406" t="s">
        <v>245</v>
      </c>
      <c r="C33" s="265">
        <v>2.4300000000000002</v>
      </c>
      <c r="D33" s="266" t="s">
        <v>241</v>
      </c>
      <c r="E33" s="267" t="s">
        <v>183</v>
      </c>
      <c r="F33" s="267" t="s">
        <v>242</v>
      </c>
      <c r="H33" s="261"/>
      <c r="I33" s="159" t="s">
        <v>60</v>
      </c>
      <c r="J33" s="57" t="s">
        <v>181</v>
      </c>
      <c r="K33" s="57" t="s">
        <v>182</v>
      </c>
      <c r="L33" s="57" t="s">
        <v>183</v>
      </c>
      <c r="M33" s="57" t="s">
        <v>184</v>
      </c>
      <c r="N33" s="413" t="s">
        <v>300</v>
      </c>
    </row>
    <row r="34" spans="1:14" s="78" customFormat="1" ht="17.25" customHeight="1" thickBot="1">
      <c r="A34" s="78" t="s">
        <v>275</v>
      </c>
      <c r="B34" s="407" t="s">
        <v>246</v>
      </c>
      <c r="C34" s="268">
        <v>0.41</v>
      </c>
      <c r="D34" s="269">
        <f>ROUND($D$32*F34,2)</f>
        <v>0.39</v>
      </c>
      <c r="E34" s="270">
        <f>ROUND($E$32*F34,2)</f>
        <v>0.1</v>
      </c>
      <c r="F34" s="367">
        <f>C34/C33</f>
        <v>0.16872427983539093</v>
      </c>
      <c r="G34" s="294">
        <f>D34-E34</f>
        <v>0.29000000000000004</v>
      </c>
      <c r="H34" s="53" t="s">
        <v>319</v>
      </c>
      <c r="I34" s="260"/>
      <c r="J34" s="418">
        <f>ROUND($C$32*F34,3)</f>
        <v>0.54</v>
      </c>
      <c r="K34" s="260">
        <f>ROUND($D$32*F34,3)</f>
        <v>0.38600000000000001</v>
      </c>
      <c r="L34" s="414">
        <f>E34</f>
        <v>0.1</v>
      </c>
      <c r="M34" s="415">
        <f>ROUND(F34*$H$32,-2)</f>
        <v>3900</v>
      </c>
      <c r="N34" s="416">
        <f>K34-L34</f>
        <v>0.28600000000000003</v>
      </c>
    </row>
    <row r="35" spans="1:14" s="78" customFormat="1" ht="17.25" customHeight="1" thickBot="1">
      <c r="B35" s="408" t="s">
        <v>248</v>
      </c>
      <c r="C35" s="271">
        <f>C33-C34</f>
        <v>2.02</v>
      </c>
      <c r="D35" s="272">
        <f>ROUND($D$32*F35,2)</f>
        <v>1.9</v>
      </c>
      <c r="E35" s="273">
        <f>ROUND($E$32*F35,2)</f>
        <v>0.47</v>
      </c>
      <c r="F35" s="274">
        <f>C35/C33</f>
        <v>0.83127572016460904</v>
      </c>
      <c r="G35" s="294">
        <f t="shared" ref="G35:G36" si="12">D35-E35</f>
        <v>1.43</v>
      </c>
      <c r="H35" s="53" t="s">
        <v>323</v>
      </c>
      <c r="I35" s="260"/>
      <c r="J35" s="418">
        <f>ROUND($C$32*F35,3)</f>
        <v>2.66</v>
      </c>
      <c r="K35" s="260">
        <f>ROUND($D$32*F35,3)</f>
        <v>1.9039999999999999</v>
      </c>
      <c r="L35" s="414">
        <f t="shared" ref="L35:L36" si="13">E35</f>
        <v>0.47</v>
      </c>
      <c r="M35" s="415">
        <f>ROUND(F35*$H$32,-2)</f>
        <v>19100</v>
      </c>
      <c r="N35" s="416">
        <f t="shared" ref="N35:N36" si="14">K35-L35</f>
        <v>1.4339999999999999</v>
      </c>
    </row>
    <row r="36" spans="1:14" s="78" customFormat="1" ht="14.25" thickBot="1">
      <c r="A36" s="78" t="s">
        <v>276</v>
      </c>
      <c r="B36" s="409" t="s">
        <v>249</v>
      </c>
      <c r="C36" s="275">
        <v>0.04</v>
      </c>
      <c r="D36" s="276">
        <f>ROUND($D$32*F36,2)</f>
        <v>0.04</v>
      </c>
      <c r="E36" s="277">
        <f>ROUND($E$32*F36,2)</f>
        <v>0.01</v>
      </c>
      <c r="F36" s="368">
        <f>C36/C33</f>
        <v>1.6460905349794237E-2</v>
      </c>
      <c r="G36" s="294">
        <f t="shared" si="12"/>
        <v>0.03</v>
      </c>
      <c r="H36" s="53" t="s">
        <v>320</v>
      </c>
      <c r="I36" s="260"/>
      <c r="J36" s="418">
        <f>ROUND($C$32*F36,3)</f>
        <v>5.2999999999999999E-2</v>
      </c>
      <c r="K36" s="260">
        <f>ROUND($D$32*F36,3)</f>
        <v>3.7999999999999999E-2</v>
      </c>
      <c r="L36" s="414">
        <f t="shared" si="13"/>
        <v>0.01</v>
      </c>
      <c r="M36" s="415">
        <f>ROUND(F36*$H$32,-2)</f>
        <v>400</v>
      </c>
      <c r="N36" s="416">
        <f t="shared" si="14"/>
        <v>2.7999999999999997E-2</v>
      </c>
    </row>
    <row r="37" spans="1:14" s="78" customFormat="1">
      <c r="D37" s="278">
        <f>SUM(D34:D35)</f>
        <v>2.29</v>
      </c>
    </row>
    <row r="38" spans="1:14" s="78" customFormat="1">
      <c r="D38" s="278"/>
    </row>
  </sheetData>
  <phoneticPr fontId="4"/>
  <pageMargins left="0.7" right="0.7" top="0.75" bottom="0.75" header="0.3" footer="0.3"/>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sheetPr>
    <pageSetUpPr fitToPage="1"/>
  </sheetPr>
  <dimension ref="A1:S45"/>
  <sheetViews>
    <sheetView topLeftCell="A29" workbookViewId="0">
      <selection activeCell="A36" sqref="A36"/>
    </sheetView>
  </sheetViews>
  <sheetFormatPr defaultRowHeight="13.5"/>
  <cols>
    <col min="1" max="1" width="18.5" style="62" customWidth="1"/>
    <col min="2" max="2" width="42.125" style="62" customWidth="1"/>
    <col min="3" max="3" width="7.75" style="62" customWidth="1"/>
    <col min="4" max="5" width="17.75" style="62" customWidth="1"/>
    <col min="6" max="6" width="9" style="62"/>
    <col min="7" max="7" width="35.125" style="62" customWidth="1"/>
    <col min="8" max="12" width="9" style="62"/>
    <col min="13" max="13" width="9" style="62" customWidth="1"/>
    <col min="14" max="16384" width="9" style="62"/>
  </cols>
  <sheetData>
    <row r="1" spans="1:9" ht="36.75" customHeight="1">
      <c r="A1" s="73" t="s">
        <v>189</v>
      </c>
      <c r="B1" s="73" t="s">
        <v>30</v>
      </c>
      <c r="C1" s="72" t="s">
        <v>190</v>
      </c>
      <c r="D1" s="71" t="s">
        <v>191</v>
      </c>
    </row>
    <row r="2" spans="1:9" ht="30" customHeight="1">
      <c r="A2" s="331" t="s">
        <v>283</v>
      </c>
      <c r="B2" s="69" t="s">
        <v>192</v>
      </c>
      <c r="C2" s="70" t="s">
        <v>193</v>
      </c>
      <c r="D2" s="69">
        <v>0.35199999999999998</v>
      </c>
      <c r="E2" s="62" t="s">
        <v>194</v>
      </c>
    </row>
    <row r="3" spans="1:9" ht="30" customHeight="1">
      <c r="A3" s="331" t="s">
        <v>284</v>
      </c>
      <c r="B3" s="69" t="s">
        <v>195</v>
      </c>
      <c r="C3" s="70" t="s">
        <v>193</v>
      </c>
      <c r="D3" s="69">
        <v>0.62</v>
      </c>
      <c r="E3" s="62" t="s">
        <v>194</v>
      </c>
    </row>
    <row r="4" spans="1:9" ht="30" customHeight="1">
      <c r="A4" s="331" t="s">
        <v>285</v>
      </c>
      <c r="B4" s="69" t="s">
        <v>196</v>
      </c>
      <c r="C4" s="70" t="s">
        <v>193</v>
      </c>
      <c r="D4" s="69">
        <v>0.193</v>
      </c>
      <c r="E4" s="62" t="s">
        <v>194</v>
      </c>
    </row>
    <row r="5" spans="1:9" ht="30" customHeight="1">
      <c r="A5" s="331" t="s">
        <v>286</v>
      </c>
      <c r="B5" s="69" t="s">
        <v>197</v>
      </c>
      <c r="C5" s="70" t="s">
        <v>193</v>
      </c>
      <c r="D5" s="69">
        <v>0.33900000000000002</v>
      </c>
      <c r="E5" s="62" t="s">
        <v>194</v>
      </c>
    </row>
    <row r="7" spans="1:9">
      <c r="F7" s="75" t="s">
        <v>255</v>
      </c>
      <c r="G7" s="75" t="s">
        <v>198</v>
      </c>
      <c r="H7" s="70" t="s">
        <v>199</v>
      </c>
      <c r="I7" s="71">
        <v>0.432</v>
      </c>
    </row>
    <row r="8" spans="1:9">
      <c r="F8" s="75" t="s">
        <v>256</v>
      </c>
      <c r="G8" s="75" t="s">
        <v>200</v>
      </c>
      <c r="H8" s="70" t="s">
        <v>199</v>
      </c>
      <c r="I8" s="290">
        <v>3</v>
      </c>
    </row>
    <row r="9" spans="1:9" ht="40.5" customHeight="1">
      <c r="A9" s="73" t="s">
        <v>189</v>
      </c>
      <c r="B9" s="73" t="s">
        <v>30</v>
      </c>
      <c r="C9" s="72" t="s">
        <v>190</v>
      </c>
      <c r="D9" s="71" t="s">
        <v>191</v>
      </c>
    </row>
    <row r="10" spans="1:9" ht="40.5" customHeight="1">
      <c r="A10" s="501" t="s">
        <v>257</v>
      </c>
      <c r="B10" s="69" t="s">
        <v>360</v>
      </c>
      <c r="C10" s="70" t="s">
        <v>199</v>
      </c>
      <c r="D10" s="69">
        <v>0.193</v>
      </c>
      <c r="E10" s="62" t="s">
        <v>194</v>
      </c>
    </row>
    <row r="11" spans="1:9" ht="40.5" customHeight="1">
      <c r="A11" s="501" t="s">
        <v>258</v>
      </c>
      <c r="B11" s="69" t="s">
        <v>361</v>
      </c>
      <c r="C11" s="70" t="s">
        <v>199</v>
      </c>
      <c r="D11" s="291">
        <v>1.1000000000000001</v>
      </c>
      <c r="E11" s="62" t="s">
        <v>194</v>
      </c>
    </row>
    <row r="12" spans="1:9" ht="40.5" customHeight="1">
      <c r="A12" s="501" t="s">
        <v>259</v>
      </c>
      <c r="B12" s="69" t="s">
        <v>362</v>
      </c>
      <c r="C12" s="70" t="s">
        <v>201</v>
      </c>
      <c r="D12" s="291">
        <v>1.99</v>
      </c>
      <c r="E12" s="62" t="s">
        <v>194</v>
      </c>
    </row>
    <row r="13" spans="1:9" ht="41.25" customHeight="1">
      <c r="A13" s="501" t="s">
        <v>260</v>
      </c>
      <c r="B13" s="69" t="s">
        <v>363</v>
      </c>
      <c r="C13" s="70" t="s">
        <v>201</v>
      </c>
      <c r="D13" s="69">
        <v>0.33600000000000002</v>
      </c>
      <c r="E13" s="62" t="s">
        <v>194</v>
      </c>
    </row>
    <row r="14" spans="1:9" ht="41.25" customHeight="1">
      <c r="A14" s="501" t="s">
        <v>261</v>
      </c>
      <c r="B14" s="69" t="s">
        <v>364</v>
      </c>
      <c r="C14" s="70" t="s">
        <v>201</v>
      </c>
      <c r="D14" s="69">
        <v>1.99</v>
      </c>
      <c r="E14" s="62" t="s">
        <v>194</v>
      </c>
    </row>
    <row r="15" spans="1:9" ht="41.25" customHeight="1">
      <c r="A15" s="502" t="s">
        <v>262</v>
      </c>
      <c r="B15" s="69" t="s">
        <v>365</v>
      </c>
      <c r="C15" s="70" t="s">
        <v>201</v>
      </c>
      <c r="D15" s="69">
        <v>0.51100000000000001</v>
      </c>
      <c r="E15" s="62" t="s">
        <v>194</v>
      </c>
    </row>
    <row r="16" spans="1:9" ht="41.25" customHeight="1">
      <c r="A16" s="502" t="s">
        <v>263</v>
      </c>
      <c r="B16" s="34" t="s">
        <v>366</v>
      </c>
      <c r="C16" s="33" t="s">
        <v>202</v>
      </c>
      <c r="D16" s="34">
        <v>6.4000000000000003E-3</v>
      </c>
      <c r="E16" s="62" t="s">
        <v>194</v>
      </c>
      <c r="F16"/>
    </row>
    <row r="17" spans="1:19" s="26" customFormat="1" ht="38.25" customHeight="1">
      <c r="A17" s="503" t="s">
        <v>372</v>
      </c>
      <c r="B17" s="34" t="s">
        <v>367</v>
      </c>
      <c r="C17" s="33" t="s">
        <v>202</v>
      </c>
      <c r="D17" s="416">
        <f>F29</f>
        <v>2.0500000000000003</v>
      </c>
      <c r="E17" s="62" t="s">
        <v>194</v>
      </c>
      <c r="F17" s="31"/>
      <c r="G17" s="1" t="s">
        <v>294</v>
      </c>
      <c r="H17" s="1" t="s">
        <v>293</v>
      </c>
      <c r="I17" s="334" t="s">
        <v>292</v>
      </c>
      <c r="J17" s="417" t="s">
        <v>324</v>
      </c>
      <c r="K17" s="159" t="s">
        <v>183</v>
      </c>
      <c r="L17" s="159" t="s">
        <v>288</v>
      </c>
      <c r="N17" s="56"/>
    </row>
    <row r="18" spans="1:19" s="26" customFormat="1" ht="38.25" customHeight="1">
      <c r="A18" s="503" t="s">
        <v>375</v>
      </c>
      <c r="B18" s="34" t="s">
        <v>368</v>
      </c>
      <c r="C18" s="33" t="s">
        <v>202</v>
      </c>
      <c r="D18" s="464">
        <f>J18</f>
        <v>1.73</v>
      </c>
      <c r="E18" s="62" t="s">
        <v>194</v>
      </c>
      <c r="G18" s="45" t="s">
        <v>346</v>
      </c>
      <c r="H18" s="445">
        <f>原単位!C29</f>
        <v>2.4300000000000002</v>
      </c>
      <c r="I18" s="34">
        <v>1</v>
      </c>
      <c r="J18" s="462">
        <f t="shared" ref="J18" si="0">L18-K18</f>
        <v>1.73</v>
      </c>
      <c r="K18" s="335">
        <f>原単位!G9</f>
        <v>0.56000000000000005</v>
      </c>
      <c r="L18" s="469">
        <v>2.29</v>
      </c>
    </row>
    <row r="19" spans="1:19" s="26" customFormat="1" ht="38.25" customHeight="1">
      <c r="A19" s="503" t="s">
        <v>373</v>
      </c>
      <c r="B19" s="34" t="s">
        <v>369</v>
      </c>
      <c r="C19" s="33" t="s">
        <v>202</v>
      </c>
      <c r="D19" s="462">
        <f>J19</f>
        <v>0.28700000000000003</v>
      </c>
      <c r="E19" s="62" t="s">
        <v>194</v>
      </c>
      <c r="G19" s="53" t="s">
        <v>347</v>
      </c>
      <c r="H19" s="445">
        <f>原単位!C16</f>
        <v>0.54</v>
      </c>
      <c r="I19" s="333">
        <f>ROUND(H19/$H$18,3)</f>
        <v>0.222</v>
      </c>
      <c r="J19" s="462">
        <f t="shared" ref="J19:J26" si="1">L19-K19</f>
        <v>0.28700000000000003</v>
      </c>
      <c r="K19" s="333">
        <f>原単位!L16</f>
        <v>0.1</v>
      </c>
      <c r="L19" s="333">
        <f>原単位!K16</f>
        <v>0.38700000000000001</v>
      </c>
    </row>
    <row r="20" spans="1:19" s="26" customFormat="1" ht="38.25" customHeight="1">
      <c r="A20" s="503" t="s">
        <v>374</v>
      </c>
      <c r="B20" s="34" t="s">
        <v>370</v>
      </c>
      <c r="C20" s="33" t="s">
        <v>202</v>
      </c>
      <c r="D20" s="465">
        <f>J20</f>
        <v>2.6999999999999996E-2</v>
      </c>
      <c r="E20" s="62" t="s">
        <v>194</v>
      </c>
      <c r="G20" s="45" t="s">
        <v>348</v>
      </c>
      <c r="H20" s="445">
        <f>原単位!C17</f>
        <v>5.2999999999999999E-2</v>
      </c>
      <c r="I20" s="34">
        <f>ROUND(H20/H18,3)</f>
        <v>2.1999999999999999E-2</v>
      </c>
      <c r="J20" s="462">
        <f t="shared" si="1"/>
        <v>2.6999999999999996E-2</v>
      </c>
      <c r="K20" s="333">
        <f>原単位!L17</f>
        <v>0.01</v>
      </c>
      <c r="L20" s="333">
        <f>原単位!K17</f>
        <v>3.6999999999999998E-2</v>
      </c>
    </row>
    <row r="21" spans="1:19" s="26" customFormat="1" ht="38.25" customHeight="1">
      <c r="A21" s="503" t="s">
        <v>376</v>
      </c>
      <c r="B21" s="34" t="s">
        <v>371</v>
      </c>
      <c r="C21" s="33" t="s">
        <v>202</v>
      </c>
      <c r="D21" s="468">
        <f>J21</f>
        <v>1.43</v>
      </c>
      <c r="E21" s="62" t="s">
        <v>194</v>
      </c>
      <c r="G21" s="53" t="s">
        <v>349</v>
      </c>
      <c r="H21" s="394">
        <f>原単位!C15</f>
        <v>2.66</v>
      </c>
      <c r="I21" s="34">
        <v>0.83099999999999996</v>
      </c>
      <c r="J21" s="462">
        <f t="shared" si="1"/>
        <v>1.43</v>
      </c>
      <c r="K21" s="333">
        <f>原単位!L15</f>
        <v>0.47</v>
      </c>
      <c r="L21" s="333">
        <f>原単位!K15</f>
        <v>1.9</v>
      </c>
    </row>
    <row r="22" spans="1:19" s="26" customFormat="1" ht="38.25" customHeight="1">
      <c r="A22" s="504" t="s">
        <v>391</v>
      </c>
      <c r="B22" s="306" t="s">
        <v>377</v>
      </c>
      <c r="C22" s="33" t="s">
        <v>202</v>
      </c>
      <c r="D22" s="461">
        <f>J23</f>
        <v>0.35</v>
      </c>
      <c r="E22" s="62" t="s">
        <v>194</v>
      </c>
      <c r="G22" s="306" t="s">
        <v>359</v>
      </c>
      <c r="H22" s="34">
        <f>原単位!C14</f>
        <v>1.4</v>
      </c>
      <c r="I22" s="34">
        <v>1</v>
      </c>
      <c r="J22" s="466">
        <f t="shared" si="1"/>
        <v>2.0500000000000003</v>
      </c>
      <c r="K22" s="34">
        <f>原単位!G14</f>
        <v>0.94</v>
      </c>
      <c r="L22" s="469">
        <f>原単位!D14</f>
        <v>2.99</v>
      </c>
      <c r="N22" s="306" t="s">
        <v>352</v>
      </c>
      <c r="O22" s="394">
        <f>原単位!C5</f>
        <v>2.0099999999999998</v>
      </c>
      <c r="P22" s="34">
        <v>1</v>
      </c>
      <c r="Q22" s="333">
        <f t="shared" ref="Q22" si="2">S22-R22</f>
        <v>2.06</v>
      </c>
      <c r="R22" s="333">
        <f>原単位!G5</f>
        <v>1.08</v>
      </c>
      <c r="S22" s="333">
        <f>原単位!D5</f>
        <v>3.14</v>
      </c>
    </row>
    <row r="23" spans="1:19" s="26" customFormat="1" ht="38.25" customHeight="1">
      <c r="A23" s="504" t="s">
        <v>392</v>
      </c>
      <c r="B23" s="306" t="s">
        <v>380</v>
      </c>
      <c r="C23" s="33" t="s">
        <v>202</v>
      </c>
      <c r="D23" s="461">
        <f>J24</f>
        <v>3.0000000000000002E-2</v>
      </c>
      <c r="E23" s="62" t="s">
        <v>194</v>
      </c>
      <c r="G23" s="306" t="s">
        <v>356</v>
      </c>
      <c r="H23" s="33" t="s">
        <v>358</v>
      </c>
      <c r="I23" s="333">
        <v>0.16900000000000001</v>
      </c>
      <c r="J23" s="460">
        <f t="shared" si="1"/>
        <v>0.35</v>
      </c>
      <c r="K23" s="34">
        <f>ROUND($I23*K22,2)</f>
        <v>0.16</v>
      </c>
      <c r="L23" s="34">
        <f t="shared" ref="L23" si="3">ROUND($I23*L22,2)</f>
        <v>0.51</v>
      </c>
      <c r="N23" s="306" t="s">
        <v>344</v>
      </c>
      <c r="O23" s="394">
        <f>原単位!C18</f>
        <v>0.34</v>
      </c>
      <c r="P23" s="34">
        <v>0.16900000000000001</v>
      </c>
      <c r="Q23" s="333">
        <f>S23-R23</f>
        <v>0.34100000000000003</v>
      </c>
      <c r="R23" s="333">
        <f>原単位!L18</f>
        <v>0.19</v>
      </c>
      <c r="S23" s="333">
        <f>原単位!K18</f>
        <v>0.53100000000000003</v>
      </c>
    </row>
    <row r="24" spans="1:19" s="26" customFormat="1" ht="38.25" customHeight="1">
      <c r="A24" s="504" t="s">
        <v>393</v>
      </c>
      <c r="B24" s="306" t="s">
        <v>381</v>
      </c>
      <c r="C24" s="33" t="s">
        <v>202</v>
      </c>
      <c r="D24" s="467">
        <f>J25</f>
        <v>1.7</v>
      </c>
      <c r="E24" s="62" t="s">
        <v>194</v>
      </c>
      <c r="G24" s="306" t="s">
        <v>357</v>
      </c>
      <c r="H24" s="33" t="s">
        <v>358</v>
      </c>
      <c r="I24" s="34">
        <v>1.6E-2</v>
      </c>
      <c r="J24" s="460">
        <f t="shared" si="1"/>
        <v>3.0000000000000002E-2</v>
      </c>
      <c r="K24" s="34">
        <f>ROUND($I24*K22,2)</f>
        <v>0.02</v>
      </c>
      <c r="L24" s="34">
        <f>ROUND($I24*L22,2)</f>
        <v>0.05</v>
      </c>
      <c r="N24" s="306" t="s">
        <v>345</v>
      </c>
      <c r="O24" s="394">
        <f>原単位!C19</f>
        <v>0.03</v>
      </c>
      <c r="P24" s="34">
        <v>1.6E-2</v>
      </c>
      <c r="Q24" s="333">
        <f t="shared" ref="Q24" si="4">S24-R24</f>
        <v>3.0000000000000002E-2</v>
      </c>
      <c r="R24" s="333">
        <f>原単位!L19</f>
        <v>0.02</v>
      </c>
      <c r="S24" s="333">
        <f>原単位!K19</f>
        <v>0.05</v>
      </c>
    </row>
    <row r="25" spans="1:19" s="26" customFormat="1" ht="38.25" customHeight="1">
      <c r="A25" s="504" t="s">
        <v>394</v>
      </c>
      <c r="B25" s="306" t="s">
        <v>390</v>
      </c>
      <c r="C25" s="33" t="s">
        <v>202</v>
      </c>
      <c r="D25" s="467">
        <f>J26</f>
        <v>2.02</v>
      </c>
      <c r="E25" s="62" t="s">
        <v>194</v>
      </c>
      <c r="G25" s="306" t="s">
        <v>378</v>
      </c>
      <c r="H25" s="33" t="s">
        <v>358</v>
      </c>
      <c r="I25" s="34">
        <v>0.83099999999999996</v>
      </c>
      <c r="J25" s="460">
        <f t="shared" si="1"/>
        <v>1.7</v>
      </c>
      <c r="K25" s="34">
        <f>ROUND($I25*K22,2)</f>
        <v>0.78</v>
      </c>
      <c r="L25" s="34">
        <f>ROUND($I25*L22,2)</f>
        <v>2.48</v>
      </c>
      <c r="N25" s="54" t="s">
        <v>350</v>
      </c>
      <c r="O25" s="394">
        <f>原単位!C25</f>
        <v>1.67</v>
      </c>
      <c r="P25" s="34">
        <v>0.83099999999999996</v>
      </c>
      <c r="Q25" s="333">
        <f>R25-S25</f>
        <v>1.69</v>
      </c>
      <c r="R25" s="333">
        <v>2.61</v>
      </c>
      <c r="S25" s="333">
        <v>0.92</v>
      </c>
    </row>
    <row r="26" spans="1:19" s="26" customFormat="1" ht="38.25" customHeight="1">
      <c r="A26" s="504" t="s">
        <v>395</v>
      </c>
      <c r="B26" s="306" t="s">
        <v>382</v>
      </c>
      <c r="C26" s="33" t="s">
        <v>202</v>
      </c>
      <c r="D26" s="335">
        <f>原単位!D28+原単位!E28</f>
        <v>0.32</v>
      </c>
      <c r="E26" s="62"/>
      <c r="G26" s="306" t="s">
        <v>379</v>
      </c>
      <c r="H26" s="33" t="s">
        <v>358</v>
      </c>
      <c r="I26" s="34">
        <f>1-I24</f>
        <v>0.98399999999999999</v>
      </c>
      <c r="J26" s="460">
        <f t="shared" si="1"/>
        <v>2.02</v>
      </c>
      <c r="K26" s="34">
        <f>ROUND($I26*K22,2)</f>
        <v>0.92</v>
      </c>
      <c r="L26" s="34">
        <f>ROUND($I26*L22,2)</f>
        <v>2.94</v>
      </c>
      <c r="N26" s="54" t="s">
        <v>351</v>
      </c>
      <c r="O26" s="394">
        <f>原単位!C26</f>
        <v>2.5299999999999998</v>
      </c>
      <c r="P26" s="34">
        <v>0.83099999999999996</v>
      </c>
      <c r="Q26" s="333">
        <f>R26-S26</f>
        <v>2</v>
      </c>
      <c r="R26" s="333">
        <v>2.82</v>
      </c>
      <c r="S26" s="333">
        <v>0.82</v>
      </c>
    </row>
    <row r="27" spans="1:19" ht="37.5" customHeight="1">
      <c r="C27" s="74"/>
    </row>
    <row r="28" spans="1:19" ht="40.5" customHeight="1">
      <c r="A28" s="73" t="s">
        <v>203</v>
      </c>
      <c r="B28" s="73" t="s">
        <v>30</v>
      </c>
      <c r="C28" s="72" t="s">
        <v>190</v>
      </c>
      <c r="D28" s="71" t="s">
        <v>191</v>
      </c>
    </row>
    <row r="29" spans="1:19" ht="43.5" customHeight="1">
      <c r="A29" s="506" t="s">
        <v>397</v>
      </c>
      <c r="B29" s="505" t="s">
        <v>396</v>
      </c>
      <c r="C29" s="70" t="s">
        <v>204</v>
      </c>
      <c r="D29" s="69">
        <v>0.441</v>
      </c>
      <c r="F29" s="463">
        <f>F31-F30</f>
        <v>2.0500000000000003</v>
      </c>
      <c r="G29" s="45" t="s">
        <v>295</v>
      </c>
      <c r="H29" s="336">
        <f>H31-H30</f>
        <v>1.73</v>
      </c>
      <c r="I29" s="7" t="s">
        <v>289</v>
      </c>
      <c r="J29"/>
    </row>
    <row r="30" spans="1:19" s="26" customFormat="1" ht="38.25" customHeight="1">
      <c r="A30" s="34"/>
      <c r="B30" s="34" t="s">
        <v>205</v>
      </c>
      <c r="C30" s="33" t="s">
        <v>206</v>
      </c>
      <c r="D30" s="68">
        <f>D39/1000</f>
        <v>38.299999999999997</v>
      </c>
      <c r="F30" s="66">
        <f>ROUND((D30*0.2)*1000/3600*D29,2)</f>
        <v>0.94</v>
      </c>
      <c r="G30" s="306" t="s">
        <v>287</v>
      </c>
      <c r="H30" s="66">
        <f>原単位!G9</f>
        <v>0.56000000000000005</v>
      </c>
      <c r="I30" s="306" t="s">
        <v>290</v>
      </c>
      <c r="J30" s="332"/>
    </row>
    <row r="31" spans="1:19" s="26" customFormat="1" ht="39" customHeight="1">
      <c r="A31" s="34"/>
      <c r="B31" s="34" t="s">
        <v>207</v>
      </c>
      <c r="C31" s="33" t="s">
        <v>208</v>
      </c>
      <c r="D31" s="34"/>
      <c r="F31" s="65">
        <f>C39</f>
        <v>2.99</v>
      </c>
      <c r="G31" s="306" t="s">
        <v>288</v>
      </c>
      <c r="H31" s="33">
        <f>原単位!D9</f>
        <v>2.29</v>
      </c>
      <c r="I31" s="306" t="s">
        <v>291</v>
      </c>
      <c r="J31" s="332"/>
    </row>
    <row r="33" spans="1:12" s="26" customFormat="1">
      <c r="A33" s="57" t="s">
        <v>30</v>
      </c>
      <c r="B33" s="57" t="s">
        <v>181</v>
      </c>
      <c r="C33" s="57" t="s">
        <v>182</v>
      </c>
      <c r="D33" s="57" t="s">
        <v>184</v>
      </c>
      <c r="E33" s="67"/>
    </row>
    <row r="34" spans="1:12" s="26" customFormat="1" ht="29.25" customHeight="1">
      <c r="A34" s="54" t="s">
        <v>185</v>
      </c>
      <c r="B34" s="52">
        <v>2.02</v>
      </c>
      <c r="C34" s="52">
        <v>3.14</v>
      </c>
      <c r="D34" s="50">
        <v>46000</v>
      </c>
    </row>
    <row r="35" spans="1:12" s="26" customFormat="1" ht="29.25" customHeight="1">
      <c r="A35" s="54" t="s">
        <v>186</v>
      </c>
      <c r="B35" s="52">
        <v>1.96</v>
      </c>
      <c r="C35" s="52">
        <v>3.14</v>
      </c>
      <c r="D35" s="50">
        <v>46000</v>
      </c>
    </row>
    <row r="36" spans="1:12" s="26" customFormat="1" ht="29.25" customHeight="1">
      <c r="A36" s="54" t="s">
        <v>398</v>
      </c>
      <c r="B36" s="52">
        <v>2.0099999999999998</v>
      </c>
      <c r="C36" s="52">
        <v>3.14</v>
      </c>
      <c r="D36" s="50">
        <v>44000</v>
      </c>
    </row>
    <row r="37" spans="1:12" s="26" customFormat="1" ht="29.25" customHeight="1">
      <c r="A37" s="54" t="s">
        <v>187</v>
      </c>
      <c r="B37" s="55">
        <v>3.05</v>
      </c>
      <c r="C37" s="52">
        <v>3.39</v>
      </c>
      <c r="D37" s="50">
        <v>40200</v>
      </c>
    </row>
    <row r="38" spans="1:12" s="26" customFormat="1" ht="29.25" customHeight="1">
      <c r="A38" s="54" t="s">
        <v>188</v>
      </c>
      <c r="B38" s="52">
        <v>3.2</v>
      </c>
      <c r="C38" s="52">
        <v>2.29</v>
      </c>
      <c r="D38" s="50">
        <v>23000</v>
      </c>
    </row>
    <row r="39" spans="1:12" s="26" customFormat="1" ht="27" customHeight="1">
      <c r="A39" s="34" t="s">
        <v>97</v>
      </c>
      <c r="B39" s="66">
        <f>ROUND((D39*0.2)/3600*D29,2)</f>
        <v>0.94</v>
      </c>
      <c r="C39" s="65">
        <f>AVERAGE(C35:C38)</f>
        <v>2.99</v>
      </c>
      <c r="D39" s="64">
        <f>AVERAGE(D35:D38)</f>
        <v>38300</v>
      </c>
      <c r="F39" s="63"/>
    </row>
    <row r="40" spans="1:12" s="26" customFormat="1" ht="33.75" customHeight="1">
      <c r="B40" s="338">
        <f>ROUND(AVERAGE(B34:B36),2)</f>
        <v>2</v>
      </c>
      <c r="C40" s="26">
        <v>0.16900000000000001</v>
      </c>
      <c r="D40" s="30">
        <f>B40*C40</f>
        <v>0.33800000000000002</v>
      </c>
      <c r="E40" s="332" t="s">
        <v>383</v>
      </c>
    </row>
    <row r="41" spans="1:12" s="26" customFormat="1" ht="38.25" customHeight="1">
      <c r="A41" s="331" t="s">
        <v>306</v>
      </c>
      <c r="B41" s="331" t="s">
        <v>303</v>
      </c>
      <c r="C41" s="33" t="s">
        <v>305</v>
      </c>
      <c r="D41" s="295">
        <v>2.6995560263042499E-2</v>
      </c>
      <c r="E41" s="62" t="s">
        <v>194</v>
      </c>
      <c r="G41"/>
      <c r="H41"/>
      <c r="J41" s="385"/>
      <c r="K41" s="385"/>
      <c r="L41" s="385"/>
    </row>
    <row r="42" spans="1:12" s="26" customFormat="1" ht="38.25" customHeight="1">
      <c r="A42" s="331" t="s">
        <v>307</v>
      </c>
      <c r="B42" s="331" t="s">
        <v>304</v>
      </c>
      <c r="C42" s="33" t="s">
        <v>305</v>
      </c>
      <c r="D42" s="333">
        <v>1.00709736421164E-2</v>
      </c>
      <c r="E42" s="62" t="s">
        <v>194</v>
      </c>
      <c r="G42"/>
      <c r="H42"/>
      <c r="J42" s="385"/>
      <c r="K42" s="385"/>
      <c r="L42" s="385"/>
    </row>
    <row r="43" spans="1:12" s="26" customFormat="1" ht="38.25" customHeight="1">
      <c r="A43" s="331" t="s">
        <v>310</v>
      </c>
      <c r="B43" s="331" t="s">
        <v>308</v>
      </c>
      <c r="C43" s="33" t="s">
        <v>305</v>
      </c>
      <c r="D43" s="295">
        <v>7.4538025277759504E-3</v>
      </c>
      <c r="E43" s="62" t="s">
        <v>194</v>
      </c>
    </row>
    <row r="44" spans="1:12" s="26" customFormat="1" ht="38.25" customHeight="1">
      <c r="A44" s="331" t="s">
        <v>311</v>
      </c>
      <c r="B44" s="331" t="s">
        <v>309</v>
      </c>
      <c r="C44" s="33" t="s">
        <v>305</v>
      </c>
      <c r="D44" s="295">
        <v>4.3104861090428699E-3</v>
      </c>
      <c r="E44" s="62" t="s">
        <v>194</v>
      </c>
    </row>
    <row r="45" spans="1:12" s="26" customFormat="1"/>
  </sheetData>
  <phoneticPr fontId="4"/>
  <hyperlinks>
    <hyperlink ref="A29" r:id="rId1" display="https://ghg-santeikohyo.env.go.jp/calc" xr:uid="{A5037B69-9A94-4257-A60E-3A82EA9B2C8E}"/>
  </hyperlinks>
  <pageMargins left="0.7" right="0.7" top="0.75" bottom="0.75" header="0.3" footer="0.3"/>
  <pageSetup paperSize="9" scale="35"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2.xml><?xml version="1.0" encoding="utf-8"?>
<ds:datastoreItem xmlns:ds="http://schemas.openxmlformats.org/officeDocument/2006/customXml" ds:itemID="{BEA915FD-AA74-4F7D-8FEF-E407FCB58305}">
  <ds:schemaRefs>
    <ds:schemaRef ds:uri="a2abbde8-7c96-4869-bcb4-8a81eb61e5a7"/>
    <ds:schemaRef ds:uri="http://schemas.microsoft.com/office/2006/documentManagement/types"/>
    <ds:schemaRef ds:uri="http://purl.org/dc/terms/"/>
    <ds:schemaRef ds:uri="http://purl.org/dc/dcmitype/"/>
    <ds:schemaRef ds:uri="981654af-8ba2-4af6-acb2-b028c310f3c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3902E18-67DC-4161-9371-CC89BCDB1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入力シート</vt:lpstr>
      <vt:lpstr>CO2削減量及び費用対効果</vt:lpstr>
      <vt:lpstr>CO2削減量及び費用対効果(2)</vt:lpstr>
      <vt:lpstr>電力計算部</vt:lpstr>
      <vt:lpstr>設備機器一覧表</vt:lpstr>
      <vt:lpstr>輸送【トンキロ法】参考</vt:lpstr>
      <vt:lpstr>原単位</vt:lpstr>
      <vt:lpstr>入出力データ</vt:lpstr>
      <vt:lpstr>CO2削減量及び費用対効果!Print_Area</vt:lpstr>
      <vt:lpstr>'CO2削減量及び費用対効果(2)'!Print_Area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福田 裕</cp:lastModifiedBy>
  <cp:revision/>
  <cp:lastPrinted>2024-03-15T08:49:26Z</cp:lastPrinted>
  <dcterms:created xsi:type="dcterms:W3CDTF">2019-01-24T06:21:46Z</dcterms:created>
  <dcterms:modified xsi:type="dcterms:W3CDTF">2024-03-19T03:53:47Z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