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ホームページ関係/HP掲載資料/２-２バイオ/"/>
    </mc:Choice>
  </mc:AlternateContent>
  <xr:revisionPtr revIDLastSave="2" documentId="13_ncr:1_{1E496E11-4B3C-4759-8F9D-BDAA39941481}" xr6:coauthVersionLast="47" xr6:coauthVersionMax="47" xr10:uidLastSave="{AF003F7B-6D8E-40B6-81E8-5C961A8D0026}"/>
  <workbookProtection workbookAlgorithmName="SHA-512" workbookHashValue="SRszTFZA1r9R6Y2S4OmTtF5HmEfrSmoHp+xjFQAISso1o8oxDV/mF6R/ed2Do1L/WJ9Gv4hru7Ryqq0xY71yYw==" workbookSaltValue="+H0bcwd53FUrfpCFSijaqw==" workbookSpinCount="100000" lockStructure="1"/>
  <bookViews>
    <workbookView xWindow="-120" yWindow="-120" windowWidth="29040" windowHeight="1584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1_1_第4表" localSheetId="3">#REF!</definedName>
    <definedName name="_20_IDEA_export_format_基本フロー" localSheetId="3">#REF!</definedName>
    <definedName name="_20_IDEA_export_format_製品完成_sima">#REF!</definedName>
    <definedName name="_20_IDEA_export_format_中間フロー">#REF!</definedName>
    <definedName name="_20en_IDEA_export_format_cost">#REF!</definedName>
    <definedName name="_20en_IDEA_export_format_基本フロー">#REF!</definedName>
    <definedName name="_20en_IDEA_export_format_製品完成">#REF!</definedName>
    <definedName name="_20en_IDEA_export_format_製品完成_sima">#REF!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#REF!</definedName>
    <definedName name="as">#REF!</definedName>
    <definedName name="AS2DocOpenMode" hidden="1">"AS2DocumentEdit"</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CO2削減量及び費用対効果!$A$1:$M$35</definedName>
    <definedName name="_xlnm.Print_Area" localSheetId="3">設備機器一覧表!$B$1:$N$26</definedName>
    <definedName name="_xlnm.Print_Area" localSheetId="0">入力シート!$A$1:$J$58,入力シート!$O$59:$Y$157</definedName>
    <definedName name="_xlnm.Print_Area">#REF!</definedName>
    <definedName name="q_050">#REF!</definedName>
    <definedName name="q_060">#REF!</definedName>
    <definedName name="q_070">#REF!</definedName>
    <definedName name="q_080">#REF!</definedName>
    <definedName name="q_090">#REF!</definedName>
    <definedName name="q_100">#REF!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バイオ原単位表">原単位!$B$3:$J$14</definedName>
    <definedName name="バイオ素材名">原単位!$B$3:$B$14</definedName>
    <definedName name="概況テキスト">[1]鉄鋼業データ!$G$2:$O$21</definedName>
    <definedName name="原単位非" localSheetId="3">[6]原単位!$B$3:$E$19</definedName>
    <definedName name="原単位表" localSheetId="3">[7]原単位!$B$3:$F$19</definedName>
    <definedName name="石油原単位表">原単位!$C$3:$F$14</definedName>
    <definedName name="石油素材">原単位!$C$3:$C$14</definedName>
    <definedName name="素材名" localSheetId="3">[7]原単位!$B$3:$B$19</definedName>
    <definedName name="入力">[8]原単位!$B$3:$B$19</definedName>
    <definedName name="入力範囲">入力シート!$C$7:$F$12,入力シート!$C$34:$G$39,入力シート!$C$45:$I$54,入力シート!$R$64:$X$150,入力シート!$S$154</definedName>
    <definedName name="表紙">#REF!</definedName>
    <definedName name="変更">#REF!</definedName>
    <definedName name="裏面">#REF!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3" l="1"/>
  <c r="E39" i="13"/>
  <c r="D39" i="13"/>
  <c r="F26" i="13"/>
  <c r="B35" i="13"/>
  <c r="E26" i="13"/>
  <c r="B50" i="16" l="1"/>
  <c r="B49" i="16"/>
  <c r="B48" i="16"/>
  <c r="H14" i="12"/>
  <c r="H13" i="12"/>
  <c r="F13" i="12" s="1"/>
  <c r="H12" i="12"/>
  <c r="F12" i="12" s="1"/>
  <c r="H11" i="12"/>
  <c r="H10" i="12"/>
  <c r="F10" i="12" s="1"/>
  <c r="H9" i="12"/>
  <c r="F9" i="12" s="1"/>
  <c r="H8" i="12"/>
  <c r="H7" i="12"/>
  <c r="H6" i="12"/>
  <c r="H5" i="12"/>
  <c r="H4" i="12"/>
  <c r="H3" i="12"/>
  <c r="F11" i="12"/>
  <c r="AA112" i="9" l="1"/>
  <c r="AA111" i="9"/>
  <c r="AA110" i="9"/>
  <c r="AA109" i="9"/>
  <c r="AA108" i="9"/>
  <c r="AA107" i="9"/>
  <c r="E23" i="1" l="1"/>
  <c r="E32" i="1" s="1"/>
  <c r="M7" i="9"/>
  <c r="N7" i="9" s="1"/>
  <c r="M8" i="9"/>
  <c r="N8" i="9" s="1"/>
  <c r="M9" i="9"/>
  <c r="N9" i="9" s="1"/>
  <c r="M10" i="9"/>
  <c r="N10" i="9" s="1"/>
  <c r="M11" i="9"/>
  <c r="N11" i="9" s="1"/>
  <c r="M12" i="9"/>
  <c r="N12" i="9" s="1"/>
  <c r="F13" i="9"/>
  <c r="G28" i="9"/>
  <c r="M34" i="9"/>
  <c r="N34" i="9" s="1"/>
  <c r="M35" i="9"/>
  <c r="N35" i="9" s="1"/>
  <c r="M36" i="9"/>
  <c r="N36" i="9" s="1"/>
  <c r="M37" i="9"/>
  <c r="N37" i="9" s="1"/>
  <c r="M38" i="9"/>
  <c r="N38" i="9" s="1"/>
  <c r="M39" i="9"/>
  <c r="N39" i="9" s="1"/>
  <c r="F40" i="9"/>
  <c r="G40" i="9"/>
  <c r="G55" i="9"/>
  <c r="H23" i="16"/>
  <c r="H22" i="16"/>
  <c r="E11" i="1"/>
  <c r="E10" i="1"/>
  <c r="E9" i="1"/>
  <c r="E8" i="1"/>
  <c r="E7" i="1"/>
  <c r="E6" i="1"/>
  <c r="N40" i="9" l="1"/>
  <c r="I40" i="9" s="1"/>
  <c r="N13" i="9"/>
  <c r="I13" i="9" s="1"/>
  <c r="F49" i="16"/>
  <c r="F48" i="16"/>
  <c r="F8" i="12"/>
  <c r="F7" i="12"/>
  <c r="F6" i="12"/>
  <c r="F5" i="12"/>
  <c r="F4" i="12"/>
  <c r="F3" i="12"/>
  <c r="E51" i="16" l="1"/>
  <c r="E50" i="16"/>
  <c r="E49" i="16"/>
  <c r="E48" i="16"/>
  <c r="E47" i="16"/>
  <c r="E46" i="16"/>
  <c r="E42" i="16"/>
  <c r="E41" i="16"/>
  <c r="E40" i="16"/>
  <c r="E39" i="16"/>
  <c r="E38" i="16"/>
  <c r="E37" i="16"/>
  <c r="C51" i="16"/>
  <c r="C50" i="16"/>
  <c r="C49" i="16"/>
  <c r="C48" i="16"/>
  <c r="C47" i="16"/>
  <c r="C46" i="16"/>
  <c r="C42" i="16"/>
  <c r="C41" i="16"/>
  <c r="C40" i="16"/>
  <c r="C39" i="16"/>
  <c r="C38" i="16"/>
  <c r="C37" i="16"/>
  <c r="B51" i="16"/>
  <c r="F51" i="16" s="1"/>
  <c r="F50" i="16"/>
  <c r="B47" i="16"/>
  <c r="F47" i="16" s="1"/>
  <c r="B46" i="16"/>
  <c r="F46" i="16" s="1"/>
  <c r="B42" i="16"/>
  <c r="F42" i="16" s="1"/>
  <c r="B41" i="16"/>
  <c r="F41" i="16" s="1"/>
  <c r="B40" i="16"/>
  <c r="F40" i="16" s="1"/>
  <c r="B39" i="16"/>
  <c r="F39" i="16" s="1"/>
  <c r="B38" i="16"/>
  <c r="B37" i="16"/>
  <c r="I31" i="16"/>
  <c r="I30" i="16"/>
  <c r="I29" i="16"/>
  <c r="I28" i="16"/>
  <c r="I27" i="16"/>
  <c r="I26" i="16"/>
  <c r="I25" i="16"/>
  <c r="I24" i="16"/>
  <c r="I23" i="16"/>
  <c r="I22" i="16"/>
  <c r="H31" i="16"/>
  <c r="H30" i="16"/>
  <c r="H29" i="16"/>
  <c r="H28" i="16"/>
  <c r="H27" i="16"/>
  <c r="H26" i="16"/>
  <c r="H25" i="16"/>
  <c r="H24"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C7" i="1"/>
  <c r="C11" i="1"/>
  <c r="C10" i="1"/>
  <c r="C9" i="1"/>
  <c r="C8" i="1"/>
  <c r="C6" i="1"/>
  <c r="J16" i="16"/>
  <c r="I33" i="16"/>
  <c r="P5" i="16" l="1"/>
  <c r="F37" i="16" s="1"/>
  <c r="N28" i="16"/>
  <c r="J28" i="16" s="1"/>
  <c r="K28" i="16" s="1"/>
  <c r="N6" i="16"/>
  <c r="J6" i="16" s="1"/>
  <c r="K6" i="16" s="1"/>
  <c r="N26" i="16"/>
  <c r="J26" i="16" s="1"/>
  <c r="K26" i="16" s="1"/>
  <c r="P25" i="16" s="1"/>
  <c r="H18" i="1"/>
  <c r="N31" i="16"/>
  <c r="J31" i="16" s="1"/>
  <c r="K31" i="16" s="1"/>
  <c r="N11" i="16"/>
  <c r="J11" i="16" s="1"/>
  <c r="K11" i="16" s="1"/>
  <c r="H17" i="1"/>
  <c r="N27" i="16"/>
  <c r="J27" i="16" s="1"/>
  <c r="K27" i="16" s="1"/>
  <c r="N29" i="16"/>
  <c r="J29" i="16" s="1"/>
  <c r="K29" i="16" s="1"/>
  <c r="N30" i="16"/>
  <c r="J30" i="16" s="1"/>
  <c r="K30" i="16" s="1"/>
  <c r="N25" i="16"/>
  <c r="J25" i="16" s="1"/>
  <c r="K25" i="16" s="1"/>
  <c r="P24" i="16" s="1"/>
  <c r="N23" i="16"/>
  <c r="J23" i="16" s="1"/>
  <c r="K23" i="16" s="1"/>
  <c r="N24" i="16"/>
  <c r="J24" i="16" s="1"/>
  <c r="K24" i="16" s="1"/>
  <c r="P6" i="16" s="1"/>
  <c r="N22" i="16"/>
  <c r="J22" i="16" s="1"/>
  <c r="K22" i="16" s="1"/>
  <c r="P10" i="16"/>
  <c r="N10" i="16"/>
  <c r="J10" i="16" s="1"/>
  <c r="K10" i="16" s="1"/>
  <c r="P9" i="16"/>
  <c r="N8" i="16"/>
  <c r="J8" i="16" s="1"/>
  <c r="K8" i="16" s="1"/>
  <c r="P27" i="16"/>
  <c r="N13" i="16"/>
  <c r="J13" i="16" s="1"/>
  <c r="K13" i="16" s="1"/>
  <c r="N12" i="16"/>
  <c r="J12" i="16" s="1"/>
  <c r="K12" i="16" s="1"/>
  <c r="N9" i="16"/>
  <c r="J9" i="16" s="1"/>
  <c r="K9" i="16" s="1"/>
  <c r="N14" i="16"/>
  <c r="J14" i="16" s="1"/>
  <c r="K14" i="16" s="1"/>
  <c r="N7" i="16"/>
  <c r="J7" i="16" s="1"/>
  <c r="K7" i="16" s="1"/>
  <c r="N5" i="16"/>
  <c r="J5" i="16" s="1"/>
  <c r="K5" i="16" s="1"/>
  <c r="P26" i="16"/>
  <c r="F38" i="16" l="1"/>
  <c r="P7" i="16"/>
  <c r="P8" i="16"/>
  <c r="P23" i="16"/>
  <c r="J32" i="16"/>
  <c r="K15" i="16"/>
  <c r="J15" i="16"/>
  <c r="G40" i="16"/>
  <c r="P22" i="16"/>
  <c r="K32" i="16"/>
  <c r="G47" i="16" l="1"/>
  <c r="G38" i="16"/>
  <c r="G37" i="16"/>
  <c r="G46" i="16"/>
  <c r="G39" i="16"/>
  <c r="G49" i="16"/>
  <c r="G48" i="16"/>
  <c r="G52" i="16" l="1"/>
  <c r="X130" i="9" s="1"/>
  <c r="G43" i="16"/>
  <c r="X120" i="9" s="1"/>
  <c r="Z149" i="9"/>
  <c r="AA149" i="9" s="1"/>
  <c r="Z148" i="9"/>
  <c r="AA148" i="9" s="1"/>
  <c r="Z147" i="9"/>
  <c r="AA147" i="9" s="1"/>
  <c r="Z146" i="9"/>
  <c r="AA146" i="9" s="1"/>
  <c r="Z145" i="9"/>
  <c r="AA145" i="9" s="1"/>
  <c r="Z144" i="9"/>
  <c r="AA144" i="9" s="1"/>
  <c r="Z142" i="9"/>
  <c r="AA142" i="9" s="1"/>
  <c r="Z141" i="9"/>
  <c r="AA141" i="9" s="1"/>
  <c r="Z140" i="9"/>
  <c r="AA140" i="9" s="1"/>
  <c r="Z139" i="9"/>
  <c r="AA139" i="9" s="1"/>
  <c r="Z138" i="9"/>
  <c r="AA138" i="9" s="1"/>
  <c r="Z137" i="9"/>
  <c r="AA137" i="9" s="1"/>
  <c r="AB118" i="9"/>
  <c r="AC118" i="9" s="1"/>
  <c r="AB130" i="9"/>
  <c r="AC130" i="9" s="1"/>
  <c r="AB129" i="9"/>
  <c r="AC129" i="9" s="1"/>
  <c r="AB128" i="9"/>
  <c r="AC128" i="9" s="1"/>
  <c r="AB127" i="9"/>
  <c r="AC127" i="9" s="1"/>
  <c r="AB126" i="9"/>
  <c r="AC126" i="9" s="1"/>
  <c r="AB125" i="9"/>
  <c r="AC125" i="9" s="1"/>
  <c r="AB123" i="9"/>
  <c r="AC123" i="9" s="1"/>
  <c r="AB122" i="9"/>
  <c r="AC122" i="9" s="1"/>
  <c r="AB121" i="9"/>
  <c r="AC121" i="9" s="1"/>
  <c r="AB120" i="9"/>
  <c r="AC120" i="9" s="1"/>
  <c r="AB119" i="9"/>
  <c r="AC119" i="9" s="1"/>
  <c r="AB113" i="9"/>
  <c r="AB112" i="9"/>
  <c r="AC112" i="9" s="1"/>
  <c r="AB111" i="9"/>
  <c r="AC111" i="9" s="1"/>
  <c r="AB110" i="9"/>
  <c r="AC110" i="9" s="1"/>
  <c r="AB108" i="9"/>
  <c r="AC108" i="9" s="1"/>
  <c r="AB107" i="9"/>
  <c r="AC107" i="9" s="1"/>
  <c r="AB105" i="9"/>
  <c r="AC105" i="9" s="1"/>
  <c r="AB104" i="9"/>
  <c r="AC104" i="9" s="1"/>
  <c r="AB103" i="9"/>
  <c r="AC103" i="9" s="1"/>
  <c r="AB101" i="9"/>
  <c r="AC101" i="9" s="1"/>
  <c r="AB100" i="9"/>
  <c r="AC100" i="9" s="1"/>
  <c r="AB89" i="9"/>
  <c r="AC89" i="9" s="1"/>
  <c r="AC95" i="9" s="1"/>
  <c r="X95" i="9" s="1"/>
  <c r="AB82" i="9"/>
  <c r="AC82" i="9" s="1"/>
  <c r="AC88" i="9" s="1"/>
  <c r="Z76" i="9"/>
  <c r="AA76" i="9" s="1"/>
  <c r="Z75" i="9"/>
  <c r="AA75" i="9" s="1"/>
  <c r="Z74" i="9"/>
  <c r="AA74" i="9" s="1"/>
  <c r="Z73" i="9"/>
  <c r="AA73" i="9" s="1"/>
  <c r="Z72" i="9"/>
  <c r="AA72" i="9" s="1"/>
  <c r="Z71" i="9"/>
  <c r="AA71" i="9" s="1"/>
  <c r="Z69" i="9"/>
  <c r="AA69" i="9" s="1"/>
  <c r="Z68" i="9"/>
  <c r="AA68" i="9" s="1"/>
  <c r="Z67" i="9"/>
  <c r="AA67" i="9" s="1"/>
  <c r="Z66" i="9"/>
  <c r="AA66" i="9" s="1"/>
  <c r="Z65" i="9"/>
  <c r="AA65" i="9" s="1"/>
  <c r="Z64" i="9"/>
  <c r="AA64" i="9" s="1"/>
  <c r="AI69" i="9"/>
  <c r="AJ69" i="9" s="1"/>
  <c r="AG66" i="9"/>
  <c r="AF69" i="9" s="1"/>
  <c r="T54" i="14"/>
  <c r="S57" i="14" s="1"/>
  <c r="W57" i="14" s="1"/>
  <c r="V57" i="14"/>
  <c r="X88" i="9" l="1"/>
  <c r="AB137" i="9"/>
  <c r="AC137" i="9" s="1"/>
  <c r="X137" i="9" s="1"/>
  <c r="AB138" i="9"/>
  <c r="AC138" i="9" s="1"/>
  <c r="X138" i="9" s="1"/>
  <c r="AB140" i="9"/>
  <c r="AC140" i="9" s="1"/>
  <c r="X140" i="9" s="1"/>
  <c r="AB141" i="9"/>
  <c r="AC141" i="9" s="1"/>
  <c r="X141" i="9" s="1"/>
  <c r="AB139" i="9"/>
  <c r="AC139" i="9" s="1"/>
  <c r="X139" i="9" s="1"/>
  <c r="AB144" i="9"/>
  <c r="AC144" i="9" s="1"/>
  <c r="X144" i="9" s="1"/>
  <c r="AB145" i="9"/>
  <c r="AC145" i="9" s="1"/>
  <c r="X145" i="9" s="1"/>
  <c r="AB146" i="9"/>
  <c r="AC146" i="9" s="1"/>
  <c r="X146" i="9" s="1"/>
  <c r="AB147" i="9"/>
  <c r="AC147" i="9" s="1"/>
  <c r="X147" i="9" s="1"/>
  <c r="AB148" i="9"/>
  <c r="AC148" i="9" s="1"/>
  <c r="X148" i="9" s="1"/>
  <c r="AB142" i="9"/>
  <c r="AC142" i="9" s="1"/>
  <c r="X142" i="9" s="1"/>
  <c r="AB149" i="9"/>
  <c r="AC149" i="9" s="1"/>
  <c r="X149" i="9" s="1"/>
  <c r="AC124" i="9"/>
  <c r="X124" i="9" s="1"/>
  <c r="G17" i="1" s="1"/>
  <c r="AC131" i="9"/>
  <c r="X131" i="9" s="1"/>
  <c r="G18" i="1" s="1"/>
  <c r="AK69" i="9"/>
  <c r="AB71" i="9"/>
  <c r="AC71" i="9" s="1"/>
  <c r="X71" i="9" s="1"/>
  <c r="AB64" i="9"/>
  <c r="AC64" i="9" s="1"/>
  <c r="AB74" i="9"/>
  <c r="AC74" i="9" s="1"/>
  <c r="X74" i="9" s="1"/>
  <c r="AB75" i="9"/>
  <c r="AC75" i="9" s="1"/>
  <c r="X75" i="9" s="1"/>
  <c r="AB65" i="9"/>
  <c r="AC65" i="9" s="1"/>
  <c r="X65" i="9" s="1"/>
  <c r="AB73" i="9"/>
  <c r="AC73" i="9" s="1"/>
  <c r="X73" i="9" s="1"/>
  <c r="AB66" i="9"/>
  <c r="AC66" i="9" s="1"/>
  <c r="X66" i="9" s="1"/>
  <c r="AB68" i="9"/>
  <c r="AC68" i="9" s="1"/>
  <c r="X68" i="9" s="1"/>
  <c r="AB69" i="9"/>
  <c r="AC69" i="9" s="1"/>
  <c r="X69" i="9" s="1"/>
  <c r="AB72" i="9"/>
  <c r="AC72" i="9" s="1"/>
  <c r="X72" i="9" s="1"/>
  <c r="AB67" i="9"/>
  <c r="AC67" i="9" s="1"/>
  <c r="X67" i="9" s="1"/>
  <c r="AB76" i="9"/>
  <c r="AC76" i="9" s="1"/>
  <c r="X76" i="9" s="1"/>
  <c r="G19" i="1" l="1"/>
  <c r="X150" i="9"/>
  <c r="I18" i="1" s="1"/>
  <c r="AC150" i="9"/>
  <c r="X143" i="9"/>
  <c r="I17" i="1" s="1"/>
  <c r="AC143" i="9"/>
  <c r="X77" i="9"/>
  <c r="E18" i="1" s="1"/>
  <c r="AC70" i="9"/>
  <c r="AC77" i="9"/>
  <c r="X64" i="9"/>
  <c r="X70" i="9" s="1"/>
  <c r="E17" i="1" s="1"/>
  <c r="I19" i="1" l="1"/>
  <c r="E19" i="1"/>
  <c r="E27" i="13"/>
  <c r="D26" i="13"/>
  <c r="AB102" i="9" l="1"/>
  <c r="AC102" i="9" s="1"/>
  <c r="AB109" i="9"/>
  <c r="AC109" i="9" s="1"/>
  <c r="H19" i="1"/>
  <c r="E12" i="1"/>
  <c r="E33" i="1" s="1"/>
  <c r="AC113" i="9" l="1"/>
  <c r="X113" i="9" s="1"/>
  <c r="F18" i="1" s="1"/>
  <c r="J18" i="1" s="1"/>
  <c r="AC106" i="9"/>
  <c r="X106" i="9" l="1"/>
  <c r="F17" i="1" s="1"/>
  <c r="F19" i="1" l="1"/>
  <c r="J17" i="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<sst xmlns="http://schemas.openxmlformats.org/spreadsheetml/2006/main" count="527" uniqueCount="325">
  <si>
    <t>工　　　程</t>
  </si>
  <si>
    <t>原単位　（kg-CO2/㎏）</t>
  </si>
  <si>
    <t>エネルギー起源ＣＯ2削減量による費用対効果</t>
    <rPh sb="10" eb="12">
      <t>サクゲン</t>
    </rPh>
    <rPh sb="12" eb="13">
      <t>リョウ</t>
    </rPh>
    <rPh sb="16" eb="21">
      <t>ヒヨウタイコウカ</t>
    </rPh>
    <phoneticPr fontId="2"/>
  </si>
  <si>
    <t>(2)トータルＣＯ2排出量
　　（非エネルギー起源も含む）</t>
    <rPh sb="7" eb="13">
      <t>コ２ハイシュツリョウ</t>
    </rPh>
    <rPh sb="17" eb="18">
      <t>ヒ</t>
    </rPh>
    <rPh sb="23" eb="25">
      <t>キゲン</t>
    </rPh>
    <rPh sb="26" eb="27">
      <t>フク</t>
    </rPh>
    <phoneticPr fontId="2"/>
  </si>
  <si>
    <t>エネルギー起源ＣＯ2削減量</t>
    <rPh sb="5" eb="7">
      <t>キゲン</t>
    </rPh>
    <rPh sb="10" eb="12">
      <t>サクゲン</t>
    </rPh>
    <rPh sb="12" eb="13">
      <t>リョウ</t>
    </rPh>
    <phoneticPr fontId="2"/>
  </si>
  <si>
    <t>算出結果</t>
    <rPh sb="0" eb="2">
      <t>サンシュツ</t>
    </rPh>
    <rPh sb="2" eb="4">
      <t>ケッカ</t>
    </rPh>
    <phoneticPr fontId="2"/>
  </si>
  <si>
    <t>Ⅳ</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</si>
  <si>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</si>
  <si>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Ⅲ</t>
    <phoneticPr fontId="2"/>
  </si>
  <si>
    <t>合　　　　計</t>
    <rPh sb="0" eb="1">
      <t>ゴウ</t>
    </rPh>
    <rPh sb="5" eb="6">
      <t>ケイ</t>
    </rPh>
    <phoneticPr fontId="2"/>
  </si>
  <si>
    <t>Ⅱ</t>
    <phoneticPr fontId="2"/>
  </si>
  <si>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</si>
  <si>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</si>
  <si>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※削減量の計算にはＩＤＥＡデータを使用</t>
    <rPh sb="1" eb="3">
      <t>サクゲン</t>
    </rPh>
    <rPh sb="3" eb="4">
      <t>リョウ</t>
    </rPh>
    <rPh sb="5" eb="7">
      <t>ケイサン</t>
    </rPh>
    <rPh sb="17" eb="19">
      <t>シヨウ</t>
    </rPh>
    <phoneticPr fontId="2"/>
  </si>
  <si>
    <t>○</t>
    <phoneticPr fontId="2"/>
  </si>
  <si>
    <t>輸　送</t>
    <rPh sb="0" eb="1">
      <t>ユ</t>
    </rPh>
    <rPh sb="2" eb="3">
      <t>ソウ</t>
    </rPh>
    <phoneticPr fontId="31"/>
  </si>
  <si>
    <t>No．</t>
    <phoneticPr fontId="31"/>
  </si>
  <si>
    <t>プロセス</t>
    <phoneticPr fontId="31"/>
  </si>
  <si>
    <t>項目名</t>
    <rPh sb="0" eb="2">
      <t>コウモク</t>
    </rPh>
    <rPh sb="2" eb="3">
      <t>メイ</t>
    </rPh>
    <phoneticPr fontId="31"/>
  </si>
  <si>
    <t>入力項目</t>
    <rPh sb="0" eb="4">
      <t>ニュウリョクコウモク</t>
    </rPh>
    <phoneticPr fontId="31"/>
  </si>
  <si>
    <t>活動量（プラｔ）</t>
    <rPh sb="0" eb="3">
      <t>カツドウリョウ</t>
    </rPh>
    <phoneticPr fontId="31"/>
  </si>
  <si>
    <t>輸送距離（km）</t>
    <rPh sb="0" eb="4">
      <t>ユソウキョリ</t>
    </rPh>
    <phoneticPr fontId="31"/>
  </si>
  <si>
    <t>分別・選別</t>
    <rPh sb="0" eb="2">
      <t>ブンベツ</t>
    </rPh>
    <rPh sb="3" eb="5">
      <t>センベツ</t>
    </rPh>
    <phoneticPr fontId="31"/>
  </si>
  <si>
    <t>施設からCO2発生量</t>
    <rPh sb="0" eb="2">
      <t>シセツ</t>
    </rPh>
    <rPh sb="7" eb="10">
      <t>ハッセイリョウ</t>
    </rPh>
    <phoneticPr fontId="15"/>
  </si>
  <si>
    <t>焼却・埋立</t>
    <rPh sb="0" eb="2">
      <t>ショウキャク</t>
    </rPh>
    <rPh sb="3" eb="5">
      <t>ウメタテ</t>
    </rPh>
    <phoneticPr fontId="31"/>
  </si>
  <si>
    <t>活動量（ごみｔ）</t>
    <rPh sb="0" eb="3">
      <t>カツドウリョウ</t>
    </rPh>
    <phoneticPr fontId="31"/>
  </si>
  <si>
    <t>用水</t>
    <rPh sb="0" eb="2">
      <t>ヨウスイ</t>
    </rPh>
    <phoneticPr fontId="15"/>
  </si>
  <si>
    <t>排水</t>
    <rPh sb="0" eb="2">
      <t>ハイスイ</t>
    </rPh>
    <phoneticPr fontId="15"/>
  </si>
  <si>
    <t>電力計算</t>
    <rPh sb="0" eb="4">
      <t>デンリョクケイサン</t>
    </rPh>
    <phoneticPr fontId="15"/>
  </si>
  <si>
    <t>製品輸送</t>
    <rPh sb="0" eb="4">
      <t>セイヒンユソウ</t>
    </rPh>
    <phoneticPr fontId="31"/>
  </si>
  <si>
    <t>合計</t>
    <rPh sb="0" eb="2">
      <t>ゴウケイ</t>
    </rPh>
    <phoneticPr fontId="31"/>
  </si>
  <si>
    <t>エネルギー起源のＣＯ２削減量(t-CO2/年)</t>
    <rPh sb="11" eb="13">
      <t>サクゲン</t>
    </rPh>
    <rPh sb="13" eb="14">
      <t>リョウ</t>
    </rPh>
    <phoneticPr fontId="31"/>
  </si>
  <si>
    <t>２．費用対効果（耐用年数９年）</t>
    <rPh sb="2" eb="7">
      <t>ヒヨウタイコウカ</t>
    </rPh>
    <rPh sb="8" eb="12">
      <t>タイヨウネンスウ</t>
    </rPh>
    <rPh sb="13" eb="14">
      <t>ネン</t>
    </rPh>
    <phoneticPr fontId="2"/>
  </si>
  <si>
    <t>１．年間のCO2削減量</t>
    <rPh sb="2" eb="4">
      <t>ネンカン</t>
    </rPh>
    <rPh sb="8" eb="10">
      <t>サクゲン</t>
    </rPh>
    <rPh sb="10" eb="11">
      <t>リョウ</t>
    </rPh>
    <phoneticPr fontId="2"/>
  </si>
  <si>
    <t>再生素材等増加量の費用対効果</t>
    <phoneticPr fontId="2"/>
  </si>
  <si>
    <t>輸送</t>
    <rPh sb="0" eb="2">
      <t>ユソウ</t>
    </rPh>
    <phoneticPr fontId="2"/>
  </si>
  <si>
    <t>製品製造</t>
    <rPh sb="0" eb="4">
      <t>セイヒンセイゾウ</t>
    </rPh>
    <phoneticPr fontId="2"/>
  </si>
  <si>
    <t>発電焼却
埋立</t>
    <rPh sb="0" eb="2">
      <t>ハツデン</t>
    </rPh>
    <phoneticPr fontId="2"/>
  </si>
  <si>
    <t>kJ/kg</t>
    <phoneticPr fontId="2"/>
  </si>
  <si>
    <t>発電</t>
    <rPh sb="0" eb="2">
      <t>ハツデン</t>
    </rPh>
    <phoneticPr fontId="2"/>
  </si>
  <si>
    <t>焼　却</t>
  </si>
  <si>
    <t>原料製造</t>
    <phoneticPr fontId="2"/>
  </si>
  <si>
    <t>IDEA ｺｰﾄﾞ</t>
    <phoneticPr fontId="2"/>
  </si>
  <si>
    <t>t</t>
    <phoneticPr fontId="44"/>
  </si>
  <si>
    <t>廃棄プラスチックのCO2</t>
    <phoneticPr fontId="44"/>
  </si>
  <si>
    <t>MJ</t>
    <phoneticPr fontId="44"/>
  </si>
  <si>
    <t>廃棄プラスチックの燃焼エネルギー</t>
    <phoneticPr fontId="44"/>
  </si>
  <si>
    <t>kWh</t>
  </si>
  <si>
    <t>電力（令和４年度排出量算定係数）</t>
    <phoneticPr fontId="2"/>
  </si>
  <si>
    <t>気候変動 IPCC 2013 GWP 100a</t>
  </si>
  <si>
    <r>
      <rPr>
        <sz val="10"/>
        <color indexed="8"/>
        <rFont val="ＭＳ Ｐゴシック"/>
        <family val="3"/>
        <charset val="128"/>
      </rPr>
      <t>単位</t>
    </r>
    <rPh sb="0" eb="2">
      <t>タンイ</t>
    </rPh>
    <phoneticPr fontId="15"/>
  </si>
  <si>
    <t>環境省</t>
    <rPh sb="0" eb="3">
      <t>カンキョウショウ</t>
    </rPh>
    <phoneticPr fontId="2"/>
  </si>
  <si>
    <t>kg</t>
    <phoneticPr fontId="2"/>
  </si>
  <si>
    <t>kg</t>
    <phoneticPr fontId="44"/>
  </si>
  <si>
    <t>⑩廃棄プラスチック中間処理</t>
    <rPh sb="1" eb="3">
      <t>ハイキ</t>
    </rPh>
    <rPh sb="9" eb="13">
      <t>チュウカンショリ</t>
    </rPh>
    <phoneticPr fontId="44"/>
  </si>
  <si>
    <t>m3</t>
  </si>
  <si>
    <t>⑧下水道処理サービス</t>
    <phoneticPr fontId="2"/>
  </si>
  <si>
    <t>⑦工業用水道</t>
    <phoneticPr fontId="2"/>
  </si>
  <si>
    <t>⑥上水道</t>
    <phoneticPr fontId="2"/>
  </si>
  <si>
    <t>⑤工業排水処理サービス</t>
    <phoneticPr fontId="2"/>
  </si>
  <si>
    <t>kg</t>
  </si>
  <si>
    <t>④埋立処理サービス, 一般廃棄物</t>
    <phoneticPr fontId="2"/>
  </si>
  <si>
    <t>③埋立処理サービス, 産業廃棄物</t>
    <phoneticPr fontId="2"/>
  </si>
  <si>
    <t>②焼却処理サービス, 一般廃棄物, 廃プラスチック</t>
    <phoneticPr fontId="2"/>
  </si>
  <si>
    <t>①焼却処理サービス, 一般廃棄物</t>
    <phoneticPr fontId="2"/>
  </si>
  <si>
    <t>IDEA</t>
    <phoneticPr fontId="2"/>
  </si>
  <si>
    <t>tkm</t>
  </si>
  <si>
    <t>④トラック輸送サービス, 10トン車, 積載率25%</t>
    <phoneticPr fontId="2"/>
  </si>
  <si>
    <t>③トラック輸送サービス, 10トン車, 積載率50%</t>
    <phoneticPr fontId="2"/>
  </si>
  <si>
    <t>②トラック輸送サービス, 4トン車, 積載率25%</t>
    <phoneticPr fontId="2"/>
  </si>
  <si>
    <t>①トラック輸送サービス, 4トン車, 積載率50%</t>
    <phoneticPr fontId="2"/>
  </si>
  <si>
    <t>①</t>
    <phoneticPr fontId="2"/>
  </si>
  <si>
    <t>②</t>
    <phoneticPr fontId="2"/>
  </si>
  <si>
    <t>①LDPE：低密度ポリエチレン</t>
  </si>
  <si>
    <t>数値</t>
    <rPh sb="0" eb="2">
      <t>スウチ</t>
    </rPh>
    <phoneticPr fontId="2"/>
  </si>
  <si>
    <t>排出量</t>
    <rPh sb="0" eb="3">
      <t>ハイシュツリョウ</t>
    </rPh>
    <phoneticPr fontId="2"/>
  </si>
  <si>
    <t>④PS：ポリスチレン</t>
  </si>
  <si>
    <t>③PP：ポリプロプレン</t>
  </si>
  <si>
    <t>平成18年経済産業省告示第66号「貨物輸送事業者に行わせる貨物の輸送に係るエネルギーの使用量の算定の方法」より作成</t>
    <phoneticPr fontId="15"/>
  </si>
  <si>
    <t>出典：</t>
    <phoneticPr fontId="15"/>
  </si>
  <si>
    <t>今後の国のガイドライン（ロジスティクス分野におけるCO2排出量算定方法共同ガイドライン）や業界の設定値を参考にしてください。</t>
    <phoneticPr fontId="15"/>
  </si>
  <si>
    <t>CNG車及びハイブリッド車の数値については今後の検討課題です。</t>
    <phoneticPr fontId="15"/>
  </si>
  <si>
    <t>注４：</t>
    <phoneticPr fontId="15"/>
  </si>
  <si>
    <t>輸送時に使用された車両（最大積載量）の把握が困難な場合には、各輸送事業者の保有台数、事業内容等を踏まえた適切な方法により、使用車両（最大積載量）を推定することができます。</t>
    <phoneticPr fontId="15"/>
  </si>
  <si>
    <t>注３：</t>
    <phoneticPr fontId="15"/>
  </si>
  <si>
    <t>平均積載率については、上表のデフォルト値の他、各輸送事業者が適切な方法により調査した数値（自社のサンプル調査の結果得られた数値等）を使用することも可能です。</t>
    <phoneticPr fontId="15"/>
  </si>
  <si>
    <t>注２：</t>
    <phoneticPr fontId="15"/>
  </si>
  <si>
    <t>より正確に燃料使用量を求めるには、関数式に値を代入して原単位を求めてください。</t>
    <phoneticPr fontId="15"/>
  </si>
  <si>
    <t>注１：</t>
    <phoneticPr fontId="15"/>
  </si>
  <si>
    <t>12,000～16,999</t>
    <phoneticPr fontId="15"/>
  </si>
  <si>
    <t>ｔCO2</t>
    <phoneticPr fontId="15"/>
  </si>
  <si>
    <t>(tC/GJ)</t>
    <phoneticPr fontId="15"/>
  </si>
  <si>
    <t>(GJ/kl)</t>
  </si>
  <si>
    <t>(l/トンキロ)</t>
    <phoneticPr fontId="15"/>
  </si>
  <si>
    <t>10,000～11,999</t>
    <phoneticPr fontId="15"/>
  </si>
  <si>
    <t>8,000～9,999</t>
    <phoneticPr fontId="15"/>
  </si>
  <si>
    <t>排出量</t>
    <rPh sb="0" eb="3">
      <t>ハイシュツリョウ</t>
    </rPh>
    <phoneticPr fontId="15"/>
  </si>
  <si>
    <t>44/12</t>
    <phoneticPr fontId="15"/>
  </si>
  <si>
    <t>排出係数</t>
    <rPh sb="0" eb="2">
      <t>ハイシュツ</t>
    </rPh>
    <rPh sb="2" eb="4">
      <t>ケイスウ</t>
    </rPh>
    <phoneticPr fontId="15"/>
  </si>
  <si>
    <t>単位発熱</t>
    <rPh sb="0" eb="2">
      <t>タンイ</t>
    </rPh>
    <rPh sb="2" eb="4">
      <t>ハツネツ</t>
    </rPh>
    <phoneticPr fontId="15"/>
  </si>
  <si>
    <t>燃料使用量</t>
    <phoneticPr fontId="15"/>
  </si>
  <si>
    <t>6,000～7,999</t>
    <phoneticPr fontId="15"/>
  </si>
  <si>
    <t>%</t>
    <phoneticPr fontId="15"/>
  </si>
  <si>
    <t>積載率</t>
  </si>
  <si>
    <t>4,000～5,999</t>
    <phoneticPr fontId="15"/>
  </si>
  <si>
    <t>kg</t>
    <phoneticPr fontId="15"/>
  </si>
  <si>
    <t>中央値</t>
  </si>
  <si>
    <t>2,000～3,999</t>
    <phoneticPr fontId="15"/>
  </si>
  <si>
    <t>1,000～1,999</t>
    <phoneticPr fontId="15"/>
  </si>
  <si>
    <t>普通貨物車</t>
    <phoneticPr fontId="15"/>
  </si>
  <si>
    <t>ln y＝2.71－0.812 ln (x/100)－0.654 ln z</t>
  </si>
  <si>
    <t>～999</t>
    <phoneticPr fontId="15"/>
  </si>
  <si>
    <t>軽油</t>
    <phoneticPr fontId="15"/>
  </si>
  <si>
    <t>小型貨物車</t>
    <phoneticPr fontId="15"/>
  </si>
  <si>
    <t>軽油</t>
    <rPh sb="0" eb="2">
      <t>ケイユ</t>
    </rPh>
    <phoneticPr fontId="15"/>
  </si>
  <si>
    <t>小型貨物車
普通貨物車</t>
    <phoneticPr fontId="15"/>
  </si>
  <si>
    <t>軽貨物車</t>
    <phoneticPr fontId="15"/>
  </si>
  <si>
    <t>ガソリン</t>
    <phoneticPr fontId="15"/>
  </si>
  <si>
    <t>(tCO2/kl)</t>
    <phoneticPr fontId="15"/>
  </si>
  <si>
    <t>(GJ/kl)</t>
    <phoneticPr fontId="15"/>
  </si>
  <si>
    <t>自家用</t>
    <phoneticPr fontId="15"/>
  </si>
  <si>
    <t>営業用</t>
    <phoneticPr fontId="15"/>
  </si>
  <si>
    <t>[A]×[B]×44/12</t>
    <phoneticPr fontId="15"/>
  </si>
  <si>
    <t>[B]</t>
    <phoneticPr fontId="15"/>
  </si>
  <si>
    <t>[A]</t>
    <phoneticPr fontId="15"/>
  </si>
  <si>
    <t>平均積載率</t>
    <phoneticPr fontId="15"/>
  </si>
  <si>
    <t>中央値</t>
    <phoneticPr fontId="15"/>
  </si>
  <si>
    <t>積載率別一覧</t>
    <phoneticPr fontId="15"/>
  </si>
  <si>
    <t>[参考]
原単位</t>
    <phoneticPr fontId="15"/>
  </si>
  <si>
    <t>排出
係数</t>
    <phoneticPr fontId="15"/>
  </si>
  <si>
    <t>単位
発熱量</t>
    <phoneticPr fontId="15"/>
  </si>
  <si>
    <t>輸送トンキロ当たり燃料使用量[D]
(l/トンキロ)</t>
    <phoneticPr fontId="15"/>
  </si>
  <si>
    <t>車種別の
平均積載率
(％)</t>
    <phoneticPr fontId="15"/>
  </si>
  <si>
    <t>最大積載量
（kg)</t>
    <phoneticPr fontId="15"/>
  </si>
  <si>
    <t>燃料</t>
    <phoneticPr fontId="15"/>
  </si>
  <si>
    <t>車種</t>
    <phoneticPr fontId="15"/>
  </si>
  <si>
    <t>表3. 燃料別最大積載量別の積載率別輸送トンキロ当たり燃料使用量</t>
    <phoneticPr fontId="15"/>
  </si>
  <si>
    <t>環境省</t>
    <phoneticPr fontId="15"/>
  </si>
  <si>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5"/>
  </si>
  <si>
    <t>航空</t>
    <phoneticPr fontId="15"/>
  </si>
  <si>
    <t>船舶</t>
    <phoneticPr fontId="15"/>
  </si>
  <si>
    <t>鉄道</t>
    <phoneticPr fontId="15"/>
  </si>
  <si>
    <t>（gCO2/トンキロ）</t>
    <phoneticPr fontId="15"/>
  </si>
  <si>
    <t>CO2排出原単位[E]</t>
    <phoneticPr fontId="15"/>
  </si>
  <si>
    <t>輸送機関</t>
    <phoneticPr fontId="15"/>
  </si>
  <si>
    <t>トラック以外の輸送モード（鉄道、船舶、航空）の輸送トンキロ当たりCO2排出原単位</t>
    <phoneticPr fontId="15"/>
  </si>
  <si>
    <t>[鉄道、船舶、航空機]CO2排出量＝輸送トンキロ×トンキロ当たりの排出係数[E]</t>
    <phoneticPr fontId="15"/>
  </si>
  <si>
    <t>トラック以外の輸送モード（鉄道、船舶、航空）については、輸送機関別CO2排出原単位（下表）を用いて算定します。</t>
    <phoneticPr fontId="15"/>
  </si>
  <si>
    <t>なお、表記「ln」は自然対数（eを底とする対数）</t>
    <phoneticPr fontId="15"/>
  </si>
  <si>
    <t>積載率10％未満の場合は、積載率10％の時の値を用いる。</t>
    <phoneticPr fontId="15"/>
  </si>
  <si>
    <t>ただし、y：輸送トンキロ当たり燃料使用量（l）、x：積載率（%）、z：最大積載量（kg）。</t>
    <phoneticPr fontId="15"/>
  </si>
  <si>
    <t>ln y＝2.71－0.812 ln (x/100)－0.654 ln z</t>
    <phoneticPr fontId="15"/>
  </si>
  <si>
    <t>【ディーゼル車】</t>
    <phoneticPr fontId="15"/>
  </si>
  <si>
    <t>ln y＝2.67－0.927 ln (x/100)－0.648 ln z</t>
    <phoneticPr fontId="15"/>
  </si>
  <si>
    <t>【ガソリン車】</t>
    <phoneticPr fontId="15"/>
  </si>
  <si>
    <t>トラックの輸送トンキロ当たり燃料使用量（燃料使用原単位）については、次の数式に基づき算出します。</t>
    <phoneticPr fontId="15"/>
  </si>
  <si>
    <t>輸送トンキロ＝貨物重量（t）× 輸送距離（km）</t>
    <phoneticPr fontId="15"/>
  </si>
  <si>
    <t>なお、輸送トンキロは以下の方法により貨物重量と輸送距離から求めます。</t>
    <phoneticPr fontId="15"/>
  </si>
  <si>
    <t>この手法では積載率による原単位の違いを反映できます。（参考表に一例を掲載します。）</t>
    <phoneticPr fontId="15"/>
  </si>
  <si>
    <t>トラックの最大積載量別積載率別の燃料使用原単位に最大積載量別積載率別に細分化された輸送トンキロをかけて算定します。</t>
    <phoneticPr fontId="15"/>
  </si>
  <si>
    <t>[トラック]CO2排出量＝輸送トンキロ×トンキロ法燃料使用原単位[D]×単位発熱量[A]×排出係数[B]×44/12</t>
    <phoneticPr fontId="15"/>
  </si>
  <si>
    <t>トンキロ法の場合でも実測等によりCO2排出原単位が把握できる場合には、報告する排出量の算定の際にその値を用いることができます。</t>
    <phoneticPr fontId="15"/>
  </si>
  <si>
    <t>積載率と車両の燃料種類、最大積載量別の輸送トンキロからCO2排出量を算定します。</t>
    <phoneticPr fontId="15"/>
  </si>
  <si>
    <t>なお、トンキロに関する排出原単位については、IDEAに掲載されている数値を用いることもできます。</t>
    <phoneticPr fontId="15"/>
  </si>
  <si>
    <t>「温室効果ガス排出量算定・報告マニュアル」を基に作成しています。</t>
    <phoneticPr fontId="15"/>
  </si>
  <si>
    <t>＜排出原単位について＞</t>
    <phoneticPr fontId="15"/>
  </si>
  <si>
    <t>Scope3(下流)：Cat09●｜Cat10〇｜Cat11〇｜Cat12〇｜Cat13〇｜Cat14〇｜Cat15〇</t>
    <phoneticPr fontId="15"/>
  </si>
  <si>
    <t>Scope3(上流)：Cat01〇｜Cat02〇｜Cat03〇｜Cat04●｜Cat05〇｜Cat06〇｜Cat07〇｜Cat08〇</t>
    <phoneticPr fontId="15"/>
  </si>
  <si>
    <t>Scope1〇　Scope2〇</t>
    <phoneticPr fontId="15"/>
  </si>
  <si>
    <t>　　③トンキロ法</t>
    <phoneticPr fontId="15"/>
  </si>
  <si>
    <t>[２]温対法算定・報告・公表制度における【輸送】に関する排出係数（3/3）</t>
    <phoneticPr fontId="15"/>
  </si>
  <si>
    <t>導入前</t>
    <rPh sb="0" eb="3">
      <t>ドウニュウマエ</t>
    </rPh>
    <phoneticPr fontId="2"/>
  </si>
  <si>
    <t>導入後</t>
    <rPh sb="0" eb="2">
      <t>ドウニュウ</t>
    </rPh>
    <rPh sb="2" eb="3">
      <t>ゴ</t>
    </rPh>
    <phoneticPr fontId="2"/>
  </si>
  <si>
    <t>カテ
ゴリ</t>
    <phoneticPr fontId="31"/>
  </si>
  <si>
    <t>積載量</t>
    <rPh sb="0" eb="3">
      <t>セキサイリョウ</t>
    </rPh>
    <phoneticPr fontId="2"/>
  </si>
  <si>
    <t>積載率</t>
    <rPh sb="0" eb="3">
      <t>セキサイリツ</t>
    </rPh>
    <phoneticPr fontId="2"/>
  </si>
  <si>
    <t>トラック輸送</t>
    <rPh sb="4" eb="6">
      <t>ユソウ</t>
    </rPh>
    <phoneticPr fontId="2"/>
  </si>
  <si>
    <t>係数</t>
    <rPh sb="0" eb="2">
      <t>ケイスウ</t>
    </rPh>
    <phoneticPr fontId="2"/>
  </si>
  <si>
    <t>合計</t>
    <rPh sb="0" eb="2">
      <t>ゴウケイ</t>
    </rPh>
    <phoneticPr fontId="2"/>
  </si>
  <si>
    <t>選別施設</t>
    <rPh sb="0" eb="2">
      <t>センベツ</t>
    </rPh>
    <rPh sb="2" eb="4">
      <t>シセツ</t>
    </rPh>
    <phoneticPr fontId="15"/>
  </si>
  <si>
    <t>排出量原単位数値</t>
    <rPh sb="0" eb="2">
      <t>ハイシュツ</t>
    </rPh>
    <rPh sb="3" eb="6">
      <t>ゲンタンイ</t>
    </rPh>
    <rPh sb="6" eb="8">
      <t>スウチ</t>
    </rPh>
    <phoneticPr fontId="15"/>
  </si>
  <si>
    <t>原単位名</t>
    <rPh sb="0" eb="3">
      <t>ゲンタンイ</t>
    </rPh>
    <rPh sb="3" eb="4">
      <t>メイ</t>
    </rPh>
    <phoneticPr fontId="2"/>
  </si>
  <si>
    <t>②</t>
    <phoneticPr fontId="2"/>
  </si>
  <si>
    <t>⑤工業排水処理サービス</t>
  </si>
  <si>
    <t>活動量（m3）</t>
    <rPh sb="0" eb="3">
      <t>カツドウリョウ</t>
    </rPh>
    <phoneticPr fontId="31"/>
  </si>
  <si>
    <t>⑦工業用水道</t>
  </si>
  <si>
    <r>
      <t>ライン</t>
    </r>
    <r>
      <rPr>
        <sz val="8"/>
        <color theme="1"/>
        <rFont val="ＭＳ Ｐゴシック"/>
        <family val="3"/>
        <charset val="128"/>
        <scheme val="minor"/>
      </rPr>
      <t>ＮＯ</t>
    </r>
    <phoneticPr fontId="2"/>
  </si>
  <si>
    <t>事業実施後</t>
    <rPh sb="0" eb="2">
      <t>ジギョウ</t>
    </rPh>
    <rPh sb="2" eb="5">
      <t>ジッシゴ</t>
    </rPh>
    <phoneticPr fontId="31"/>
  </si>
  <si>
    <t>原単位</t>
    <rPh sb="0" eb="3">
      <t>ゲンタンイ</t>
    </rPh>
    <phoneticPr fontId="2"/>
  </si>
  <si>
    <t>処理量</t>
  </si>
  <si>
    <t>B</t>
    <phoneticPr fontId="44"/>
  </si>
  <si>
    <t>A</t>
    <phoneticPr fontId="44"/>
  </si>
  <si>
    <t>合　　計</t>
    <rPh sb="0" eb="1">
      <t>ゴウ</t>
    </rPh>
    <rPh sb="3" eb="4">
      <t>ケイ</t>
    </rPh>
    <phoneticPr fontId="2"/>
  </si>
  <si>
    <t>CO2排出量
(CO2-t/t)</t>
    <rPh sb="3" eb="5">
      <t>ハイシュツ</t>
    </rPh>
    <rPh sb="5" eb="6">
      <t>リョウ</t>
    </rPh>
    <phoneticPr fontId="2"/>
  </si>
  <si>
    <t>電力量
（割合無）</t>
    <rPh sb="0" eb="2">
      <t>デンリョク</t>
    </rPh>
    <rPh sb="2" eb="3">
      <t>リョウ</t>
    </rPh>
    <rPh sb="5" eb="7">
      <t>ワリアイ</t>
    </rPh>
    <rPh sb="7" eb="8">
      <t>ム</t>
    </rPh>
    <phoneticPr fontId="2"/>
  </si>
  <si>
    <t>CO2排出量
(t-CO2/t)</t>
    <rPh sb="3" eb="5">
      <t>ハイシュツ</t>
    </rPh>
    <rPh sb="5" eb="6">
      <t>リョウ</t>
    </rPh>
    <phoneticPr fontId="2"/>
  </si>
  <si>
    <t>電力量
(kWh/t)</t>
    <rPh sb="0" eb="2">
      <t>デンリョク</t>
    </rPh>
    <rPh sb="2" eb="3">
      <t>リョウ</t>
    </rPh>
    <phoneticPr fontId="2"/>
  </si>
  <si>
    <t>既設利用割合</t>
    <rPh sb="0" eb="2">
      <t>キセツ</t>
    </rPh>
    <rPh sb="2" eb="4">
      <t>リヨウ</t>
    </rPh>
    <rPh sb="4" eb="6">
      <t>ワリアイ</t>
    </rPh>
    <phoneticPr fontId="2"/>
  </si>
  <si>
    <t>インバータ制御</t>
    <rPh sb="5" eb="7">
      <t>セイギョ</t>
    </rPh>
    <phoneticPr fontId="2"/>
  </si>
  <si>
    <t>電動機容量</t>
    <rPh sb="0" eb="3">
      <t>デンドウキ</t>
    </rPh>
    <rPh sb="3" eb="5">
      <t>ヨウリョウ</t>
    </rPh>
    <phoneticPr fontId="2"/>
  </si>
  <si>
    <t>計画処理量</t>
    <rPh sb="0" eb="4">
      <t>ケイカクショリ</t>
    </rPh>
    <rPh sb="4" eb="5">
      <t>リョウ</t>
    </rPh>
    <phoneticPr fontId="2"/>
  </si>
  <si>
    <t>定格処理量</t>
    <rPh sb="0" eb="2">
      <t>テイカク</t>
    </rPh>
    <rPh sb="2" eb="4">
      <t>ショリ</t>
    </rPh>
    <rPh sb="4" eb="5">
      <t>リョウ</t>
    </rPh>
    <phoneticPr fontId="2"/>
  </si>
  <si>
    <t>機器名</t>
    <rPh sb="0" eb="2">
      <t>キキ</t>
    </rPh>
    <rPh sb="2" eb="3">
      <t>メイ</t>
    </rPh>
    <phoneticPr fontId="2"/>
  </si>
  <si>
    <r>
      <t xml:space="preserve">ライン
</t>
    </r>
    <r>
      <rPr>
        <sz val="8"/>
        <color theme="1"/>
        <rFont val="ＭＳ Ｐゴシック"/>
        <family val="3"/>
        <charset val="128"/>
        <scheme val="minor"/>
      </rPr>
      <t>ＮＯ</t>
    </r>
    <phoneticPr fontId="2"/>
  </si>
  <si>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2"/>
  </si>
  <si>
    <t>事業実施前</t>
    <rPh sb="0" eb="2">
      <t>ジギョウ</t>
    </rPh>
    <rPh sb="2" eb="4">
      <t>ジッシ</t>
    </rPh>
    <rPh sb="4" eb="5">
      <t>マエ</t>
    </rPh>
    <phoneticPr fontId="31"/>
  </si>
  <si>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</si>
  <si>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</si>
  <si>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</si>
  <si>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</si>
  <si>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</si>
  <si>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</si>
  <si>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2"/>
  </si>
  <si>
    <t>①</t>
    <phoneticPr fontId="2"/>
  </si>
  <si>
    <t>事業実施後</t>
    <rPh sb="0" eb="2">
      <t>ジギョウ</t>
    </rPh>
    <rPh sb="2" eb="4">
      <t>ジッシ</t>
    </rPh>
    <rPh sb="4" eb="5">
      <t>ゴ</t>
    </rPh>
    <phoneticPr fontId="31"/>
  </si>
  <si>
    <t>電力計算部シート参照</t>
    <rPh sb="0" eb="2">
      <t>デンリョク</t>
    </rPh>
    <rPh sb="2" eb="5">
      <t>ケイサンブ</t>
    </rPh>
    <rPh sb="8" eb="10">
      <t>サンショウ</t>
    </rPh>
    <phoneticPr fontId="2"/>
  </si>
  <si>
    <t>①バイオPE（LDPE）</t>
    <phoneticPr fontId="2"/>
  </si>
  <si>
    <t>②バイオPE（HDPE）</t>
    <phoneticPr fontId="2"/>
  </si>
  <si>
    <t>③バイオPP：ポリプロプレン</t>
    <phoneticPr fontId="2"/>
  </si>
  <si>
    <t>④バイオPS：ポリスチレン</t>
    <phoneticPr fontId="2"/>
  </si>
  <si>
    <t>⑤バイオ(EPS)</t>
    <phoneticPr fontId="2"/>
  </si>
  <si>
    <t>―</t>
    <phoneticPr fontId="2"/>
  </si>
  <si>
    <t>②HDPE：高密度ポリエチレン</t>
  </si>
  <si>
    <t>植物油脂</t>
    <rPh sb="0" eb="2">
      <t>ショクブツ</t>
    </rPh>
    <rPh sb="2" eb="4">
      <t>ユシ</t>
    </rPh>
    <phoneticPr fontId="2"/>
  </si>
  <si>
    <t>⑦PET：ポリエチレンテレフタレート</t>
  </si>
  <si>
    <t>エチレングルコール</t>
    <phoneticPr fontId="2"/>
  </si>
  <si>
    <t>⑧PA6：ナイロン</t>
  </si>
  <si>
    <t>⑨PA66：ナイロン</t>
  </si>
  <si>
    <t>バイオ素材名</t>
    <rPh sb="3" eb="6">
      <t>ソザイメイ</t>
    </rPh>
    <phoneticPr fontId="2"/>
  </si>
  <si>
    <t>石油素材</t>
    <rPh sb="0" eb="2">
      <t>セキユ</t>
    </rPh>
    <rPh sb="2" eb="4">
      <t>ソザイ</t>
    </rPh>
    <phoneticPr fontId="2"/>
  </si>
  <si>
    <r>
      <rPr>
        <b/>
        <sz val="11"/>
        <color theme="1"/>
        <rFont val="ＭＳ Ｐゴシック"/>
        <family val="3"/>
        <charset val="128"/>
        <scheme val="minor"/>
      </rPr>
      <t>石油由来素材名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2">
      <t>セキユ</t>
    </rPh>
    <rPh sb="2" eb="4">
      <t>ユライ</t>
    </rPh>
    <rPh sb="4" eb="6">
      <t>ソザイ</t>
    </rPh>
    <rPh sb="6" eb="7">
      <t>メイ</t>
    </rPh>
    <rPh sb="9" eb="11">
      <t>カキ</t>
    </rPh>
    <rPh sb="12" eb="13">
      <t>ワク</t>
    </rPh>
    <rPh sb="23" eb="25">
      <t>センタク</t>
    </rPh>
    <rPh sb="27" eb="28">
      <t>クダ</t>
    </rPh>
    <phoneticPr fontId="2"/>
  </si>
  <si>
    <t>製品樹脂を製造するに必要な電力量の入力</t>
    <rPh sb="0" eb="2">
      <t>セイヒン</t>
    </rPh>
    <rPh sb="2" eb="4">
      <t>ジュシ</t>
    </rPh>
    <rPh sb="5" eb="7">
      <t>セイゾウ</t>
    </rPh>
    <rPh sb="10" eb="12">
      <t>ヒツヨウ</t>
    </rPh>
    <rPh sb="13" eb="16">
      <t>デンリョクリョウ</t>
    </rPh>
    <rPh sb="17" eb="19">
      <t>ニュウリョク</t>
    </rPh>
    <phoneticPr fontId="2"/>
  </si>
  <si>
    <t>PLA</t>
    <phoneticPr fontId="2"/>
  </si>
  <si>
    <t>化石由来製品樹脂名及び製品量の入力</t>
    <rPh sb="0" eb="2">
      <t>カセキ</t>
    </rPh>
    <rPh sb="2" eb="4">
      <t>ユライ</t>
    </rPh>
    <rPh sb="4" eb="6">
      <t>セイヒン</t>
    </rPh>
    <rPh sb="6" eb="8">
      <t>ジュシ</t>
    </rPh>
    <rPh sb="8" eb="9">
      <t>メイ</t>
    </rPh>
    <rPh sb="9" eb="10">
      <t>オヨ</t>
    </rPh>
    <rPh sb="11" eb="13">
      <t>セイヒン</t>
    </rPh>
    <rPh sb="13" eb="14">
      <t>リョウ</t>
    </rPh>
    <rPh sb="15" eb="17">
      <t>ニュウリョク</t>
    </rPh>
    <phoneticPr fontId="2"/>
  </si>
  <si>
    <t>化石由来樹脂を製造するに必要な電力量の入力</t>
    <rPh sb="0" eb="4">
      <t>カセキユライ</t>
    </rPh>
    <rPh sb="4" eb="6">
      <t>ジュシ</t>
    </rPh>
    <rPh sb="7" eb="9">
      <t>セイゾウ</t>
    </rPh>
    <rPh sb="12" eb="14">
      <t>ヒツヨウ</t>
    </rPh>
    <rPh sb="15" eb="17">
      <t>デンリョク</t>
    </rPh>
    <rPh sb="17" eb="18">
      <t>リョウ</t>
    </rPh>
    <rPh sb="18" eb="20">
      <t>ニュウリョク</t>
    </rPh>
    <phoneticPr fontId="2"/>
  </si>
  <si>
    <t>代替樹脂名及び製造量・処理量の入力</t>
    <rPh sb="0" eb="2">
      <t>ダイタイ</t>
    </rPh>
    <rPh sb="2" eb="4">
      <t>ジュシ</t>
    </rPh>
    <rPh sb="4" eb="5">
      <t>メイ</t>
    </rPh>
    <rPh sb="5" eb="6">
      <t>オヨ</t>
    </rPh>
    <rPh sb="7" eb="10">
      <t>セイゾウリョウ</t>
    </rPh>
    <rPh sb="11" eb="14">
      <t>ショリリョウ</t>
    </rPh>
    <rPh sb="15" eb="17">
      <t>ニュウリョク</t>
    </rPh>
    <phoneticPr fontId="2"/>
  </si>
  <si>
    <t>製造される樹脂名及び製品量の算出</t>
    <rPh sb="0" eb="2">
      <t>セイゾウ</t>
    </rPh>
    <rPh sb="5" eb="7">
      <t>ジュシ</t>
    </rPh>
    <rPh sb="6" eb="7">
      <t>メイ</t>
    </rPh>
    <rPh sb="7" eb="8">
      <t>オヨ</t>
    </rPh>
    <rPh sb="9" eb="11">
      <t>セイヒン</t>
    </rPh>
    <rPh sb="11" eb="12">
      <t>リョウ</t>
    </rPh>
    <rPh sb="13" eb="15">
      <t>サンシュツ</t>
    </rPh>
    <phoneticPr fontId="2"/>
  </si>
  <si>
    <t>事業実施前</t>
    <rPh sb="0" eb="4">
      <t>ジギョウジッシ</t>
    </rPh>
    <rPh sb="4" eb="5">
      <t>マエ</t>
    </rPh>
    <phoneticPr fontId="2"/>
  </si>
  <si>
    <t>事業実施後</t>
    <rPh sb="0" eb="4">
      <t>ジギョウジッシ</t>
    </rPh>
    <rPh sb="4" eb="5">
      <t>ゴ</t>
    </rPh>
    <phoneticPr fontId="2"/>
  </si>
  <si>
    <t>再生可能資源由来樹脂と化石燃料由来樹脂製造との比較によるCO２削減量集計表</t>
    <rPh sb="0" eb="2">
      <t>サイセイ</t>
    </rPh>
    <rPh sb="2" eb="4">
      <t>カノウ</t>
    </rPh>
    <rPh sb="4" eb="8">
      <t>シゲンユライ</t>
    </rPh>
    <rPh sb="8" eb="9">
      <t>アブラ</t>
    </rPh>
    <rPh sb="10" eb="14">
      <t>カセキネンリョウ</t>
    </rPh>
    <rPh sb="14" eb="16">
      <t>ユライ</t>
    </rPh>
    <rPh sb="16" eb="18">
      <t>ジュシ</t>
    </rPh>
    <rPh sb="18" eb="20">
      <t>セイゾウ</t>
    </rPh>
    <rPh sb="22" eb="24">
      <t>ヒカク</t>
    </rPh>
    <rPh sb="30" eb="33">
      <t>サクゲンリョウ</t>
    </rPh>
    <rPh sb="33" eb="36">
      <t>シュウケイヒョウ</t>
    </rPh>
    <phoneticPr fontId="2"/>
  </si>
  <si>
    <t>素材製造(ユーティリティー)</t>
    <rPh sb="0" eb="2">
      <t>ソザイ</t>
    </rPh>
    <rPh sb="2" eb="4">
      <t>セイゾウ</t>
    </rPh>
    <phoneticPr fontId="31"/>
  </si>
  <si>
    <t>入力シート（再生可能資源由来素材）</t>
    <rPh sb="0" eb="1">
      <t>チカラ</t>
    </rPh>
    <rPh sb="5" eb="7">
      <t>サイセイ</t>
    </rPh>
    <rPh sb="7" eb="9">
      <t>カノウ</t>
    </rPh>
    <rPh sb="9" eb="13">
      <t>シゲンユライ</t>
    </rPh>
    <rPh sb="13" eb="15">
      <t>ソザイ</t>
    </rPh>
    <phoneticPr fontId="1"/>
  </si>
  <si>
    <t>電力計算部（再生可能資源由来素材）</t>
    <rPh sb="0" eb="2">
      <t>デンリョク</t>
    </rPh>
    <rPh sb="2" eb="5">
      <t>ケイサンブ</t>
    </rPh>
    <phoneticPr fontId="2"/>
  </si>
  <si>
    <t>CO2削減量及び費用対効果（再生可能資源由来素材）</t>
    <rPh sb="3" eb="5">
      <t>サクゲン</t>
    </rPh>
    <rPh sb="5" eb="6">
      <t>リョウ</t>
    </rPh>
    <rPh sb="6" eb="7">
      <t>オヨ</t>
    </rPh>
    <rPh sb="8" eb="13">
      <t>ヒヨウタイコウカ</t>
    </rPh>
    <rPh sb="14" eb="16">
      <t>サイセイ</t>
    </rPh>
    <rPh sb="16" eb="18">
      <t>カノウ</t>
    </rPh>
    <rPh sb="18" eb="22">
      <t>シゲンユライ</t>
    </rPh>
    <rPh sb="22" eb="24">
      <t>ソザイ</t>
    </rPh>
    <phoneticPr fontId="1"/>
  </si>
  <si>
    <t>CO2排出量</t>
    <rPh sb="3" eb="6">
      <t>ハイシュツリョウ</t>
    </rPh>
    <phoneticPr fontId="2"/>
  </si>
  <si>
    <t>電気の使用</t>
    <rPh sb="0" eb="2">
      <t>デンキ</t>
    </rPh>
    <rPh sb="3" eb="5">
      <t>シヨウ</t>
    </rPh>
    <phoneticPr fontId="2"/>
  </si>
  <si>
    <t>化石由来樹脂製造に係る電力原単位及びCO2排出原単位</t>
    <rPh sb="0" eb="4">
      <t>カセキユライ</t>
    </rPh>
    <rPh sb="4" eb="6">
      <t>ジュシ</t>
    </rPh>
    <rPh sb="6" eb="8">
      <t>セイゾウ</t>
    </rPh>
    <rPh sb="9" eb="10">
      <t>カカワ</t>
    </rPh>
    <rPh sb="11" eb="13">
      <t>デンリョク</t>
    </rPh>
    <rPh sb="13" eb="16">
      <t>ゲンタンイ</t>
    </rPh>
    <rPh sb="16" eb="17">
      <t>オヨ</t>
    </rPh>
    <rPh sb="21" eb="23">
      <t>ハイシュツ</t>
    </rPh>
    <rPh sb="23" eb="26">
      <t>ゲンタンイ</t>
    </rPh>
    <phoneticPr fontId="2"/>
  </si>
  <si>
    <t>樹脂製造</t>
    <rPh sb="0" eb="4">
      <t>ジュシセイゾウ</t>
    </rPh>
    <phoneticPr fontId="2"/>
  </si>
  <si>
    <t>素材製造</t>
    <rPh sb="0" eb="2">
      <t>ソザイ</t>
    </rPh>
    <rPh sb="2" eb="4">
      <t>セイゾウ</t>
    </rPh>
    <phoneticPr fontId="2"/>
  </si>
  <si>
    <t>素材輸送</t>
    <rPh sb="0" eb="2">
      <t>ソザイ</t>
    </rPh>
    <rPh sb="2" eb="4">
      <t>ユソウ</t>
    </rPh>
    <phoneticPr fontId="2"/>
  </si>
  <si>
    <t>加工工程</t>
    <rPh sb="0" eb="4">
      <t>カコウコウテイ</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</si>
  <si>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</si>
  <si>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5"/>
  </si>
  <si>
    <t>定格容量</t>
    <rPh sb="0" eb="2">
      <t>テイカク</t>
    </rPh>
    <rPh sb="2" eb="4">
      <t>ヨウリョウ</t>
    </rPh>
    <phoneticPr fontId="2"/>
  </si>
  <si>
    <t>ﾒｰｶｰ</t>
    <phoneticPr fontId="15"/>
  </si>
  <si>
    <t>型式</t>
    <rPh sb="0" eb="2">
      <t>カタシキ</t>
    </rPh>
    <phoneticPr fontId="15"/>
  </si>
  <si>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</si>
  <si>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</si>
  <si>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5"/>
  </si>
  <si>
    <t>既設</t>
    <rPh sb="0" eb="2">
      <t>キセツ</t>
    </rPh>
    <phoneticPr fontId="2"/>
  </si>
  <si>
    <t>インバータ</t>
    <phoneticPr fontId="2"/>
  </si>
  <si>
    <t>基数</t>
    <rPh sb="0" eb="2">
      <t>キスウ</t>
    </rPh>
    <phoneticPr fontId="15"/>
  </si>
  <si>
    <t>機能・目的</t>
    <rPh sb="0" eb="2">
      <t>キノウ</t>
    </rPh>
    <rPh sb="3" eb="5">
      <t>モクテキ</t>
    </rPh>
    <phoneticPr fontId="15"/>
  </si>
  <si>
    <t>設備機器一覧表（再生可能資源由来素材）</t>
    <rPh sb="0" eb="2">
      <t>セツビ</t>
    </rPh>
    <rPh sb="2" eb="4">
      <t>キキ</t>
    </rPh>
    <rPh sb="4" eb="6">
      <t>イチラン</t>
    </rPh>
    <rPh sb="6" eb="7">
      <t>ヒョウ</t>
    </rPh>
    <phoneticPr fontId="15"/>
  </si>
  <si>
    <t>○</t>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</si>
  <si>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7">
      <t>セツビキキ</t>
    </rPh>
    <rPh sb="17" eb="19">
      <t>イチラン</t>
    </rPh>
    <rPh sb="19" eb="20">
      <t>ヒョウ</t>
    </rPh>
    <rPh sb="21" eb="23">
      <t>テンプ</t>
    </rPh>
    <rPh sb="38" eb="40">
      <t>セイギョ</t>
    </rPh>
    <rPh sb="41" eb="43">
      <t>バアイ</t>
    </rPh>
    <rPh sb="49" eb="51">
      <t>キキ</t>
    </rPh>
    <rPh sb="54" eb="56">
      <t>イガイ</t>
    </rPh>
    <rPh sb="57" eb="58">
      <t>ワ</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</si>
  <si>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</si>
  <si>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</si>
  <si>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①事業実施前　ＣＯ２排出量</t>
    <rPh sb="1" eb="6">
      <t>ジギョウジッシマエ</t>
    </rPh>
    <rPh sb="10" eb="13">
      <t>ハイシュツリョウ</t>
    </rPh>
    <phoneticPr fontId="31"/>
  </si>
  <si>
    <t>②事業実施後　ＣＯ２排出量</t>
    <rPh sb="1" eb="6">
      <t>ジギョウジッシゴ</t>
    </rPh>
    <rPh sb="10" eb="13">
      <t>ハイシュツリョウ</t>
    </rPh>
    <phoneticPr fontId="31"/>
  </si>
  <si>
    <t>③事業実施による　ＣＯ２削減量
（①－②）</t>
    <rPh sb="1" eb="5">
      <t>ジギョウジッシ</t>
    </rPh>
    <rPh sb="12" eb="15">
      <t>サクゲンリョウ</t>
    </rPh>
    <phoneticPr fontId="31"/>
  </si>
  <si>
    <t>⑥バイオ(EPS)</t>
    <phoneticPr fontId="2"/>
  </si>
  <si>
    <t>⑦バイオ(PET)</t>
    <phoneticPr fontId="2"/>
  </si>
  <si>
    <t>⑧バイオ(PA6)</t>
    <phoneticPr fontId="2"/>
  </si>
  <si>
    <t>⑨バイオ(PA66)</t>
    <phoneticPr fontId="2"/>
  </si>
  <si>
    <t>⑥PVC：塩化ビニル</t>
  </si>
  <si>
    <t>⑦B-PET：ボトル用ポリエチレンテレフタレート</t>
  </si>
  <si>
    <t>⑤EPS：発泡ポリスチレン</t>
    <rPh sb="5" eb="7">
      <t>ハッポウ</t>
    </rPh>
    <phoneticPr fontId="6"/>
  </si>
  <si>
    <t>163516102pJPN</t>
  </si>
  <si>
    <t>163516100pJPN</t>
  </si>
  <si>
    <t>163518000pJPN</t>
  </si>
  <si>
    <t>163517000mJPN</t>
  </si>
  <si>
    <t>163517105pJPN</t>
  </si>
  <si>
    <t>163521000pJPN</t>
  </si>
  <si>
    <t>163526000pJPN</t>
  </si>
  <si>
    <t>163524100pJPN</t>
  </si>
  <si>
    <t>163239171pJPN</t>
  </si>
  <si>
    <t>881612000mJPN</t>
  </si>
  <si>
    <t>881612204pJPN</t>
  </si>
  <si>
    <t>882200211mJPN</t>
  </si>
  <si>
    <t>881611000pJPN</t>
  </si>
  <si>
    <t>882511000pJPN</t>
  </si>
  <si>
    <t>361111000pJPN</t>
  </si>
  <si>
    <t>079411000pJPN</t>
  </si>
  <si>
    <t>881811000pJPN</t>
  </si>
  <si>
    <t>⑩焼却・発電</t>
    <rPh sb="1" eb="3">
      <t>ショウキャク</t>
    </rPh>
    <rPh sb="4" eb="6">
      <t>ハツデン</t>
    </rPh>
    <phoneticPr fontId="31"/>
  </si>
  <si>
    <t>872100204pJPN</t>
  </si>
  <si>
    <t>⑨廃棄プラスチック中間処理</t>
    <rPh sb="1" eb="3">
      <t>ハイキ</t>
    </rPh>
    <rPh sb="9" eb="13">
      <t>チュウカンショリ</t>
    </rPh>
    <phoneticPr fontId="44"/>
  </si>
  <si>
    <t>⑪焼却・発電（再生PET）</t>
    <rPh sb="1" eb="3">
      <t>ショウキャク</t>
    </rPh>
    <rPh sb="4" eb="6">
      <t>ハツデン</t>
    </rPh>
    <rPh sb="7" eb="9">
      <t>サイセイ</t>
    </rPh>
    <phoneticPr fontId="31"/>
  </si>
  <si>
    <t>再生素材名</t>
    <rPh sb="0" eb="4">
      <t>サイセイソザイ</t>
    </rPh>
    <rPh sb="4" eb="5">
      <t>メイ</t>
    </rPh>
    <phoneticPr fontId="2"/>
  </si>
  <si>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</si>
  <si>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</si>
  <si>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補助対象経費支出予定額の入力</t>
    <rPh sb="12" eb="14">
      <t>ニュウリョク</t>
    </rPh>
    <phoneticPr fontId="2"/>
  </si>
  <si>
    <t>441111223pJPN</t>
  </si>
  <si>
    <t>441111225pJPN</t>
  </si>
  <si>
    <t>441111233pJPN</t>
  </si>
  <si>
    <t>441111235pJPN</t>
  </si>
  <si>
    <t>⑩ABS</t>
  </si>
  <si>
    <t>⑪PC</t>
  </si>
  <si>
    <t>163517106pJPN</t>
  </si>
  <si>
    <t>163528000mJPN</t>
  </si>
  <si>
    <t>⑩バイオ(ABS)</t>
    <phoneticPr fontId="2"/>
  </si>
  <si>
    <t>⑪バイオ(PC)</t>
    <phoneticPr fontId="2"/>
  </si>
  <si>
    <t>https://ghg-santeikohyo.env.go.jp/files/calc/r05_coefficient.pdf</t>
    <phoneticPr fontId="2"/>
  </si>
  <si>
    <r>
      <rPr>
        <b/>
        <sz val="11"/>
        <color theme="1"/>
        <rFont val="ＭＳ Ｐゴシック"/>
        <family val="3"/>
        <charset val="128"/>
        <scheme val="minor"/>
      </rPr>
      <t>製品量（トン／年）</t>
    </r>
    <r>
      <rPr>
        <sz val="11"/>
        <color theme="1"/>
        <rFont val="ＭＳ Ｐゴシック"/>
        <family val="2"/>
        <charset val="128"/>
        <scheme val="minor"/>
      </rPr>
      <t xml:space="preserve">
（数値で記入して下さい）</t>
    </r>
    <rPh sb="0" eb="2">
      <t>セイヒン</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</si>
  <si>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</si>
  <si>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</si>
  <si>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製品量（トン／年）</t>
    <rPh sb="0" eb="2">
      <t>セイヒン</t>
    </rPh>
    <rPh sb="2" eb="3">
      <t>リョウ</t>
    </rPh>
    <rPh sb="7" eb="8">
      <t>ネン</t>
    </rPh>
    <phoneticPr fontId="2"/>
  </si>
  <si>
    <t>焼却+発電</t>
    <rPh sb="0" eb="2">
      <t>ショウキャク</t>
    </rPh>
    <rPh sb="3" eb="5">
      <t>ハツデン</t>
    </rPh>
    <phoneticPr fontId="31"/>
  </si>
  <si>
    <t>⑫焼却・発電（非生分解)</t>
    <rPh sb="1" eb="3">
      <t>ショウキャク</t>
    </rPh>
    <rPh sb="4" eb="6">
      <t>ハツデン</t>
    </rPh>
    <rPh sb="7" eb="8">
      <t>ヒ</t>
    </rPh>
    <rPh sb="8" eb="11">
      <t>セイブンカイ</t>
    </rPh>
    <phoneticPr fontId="31"/>
  </si>
  <si>
    <t>PLAの発熱量</t>
    <rPh sb="4" eb="7">
      <t>ハツネツリョウ</t>
    </rPh>
    <phoneticPr fontId="2"/>
  </si>
  <si>
    <t>kJ/kg</t>
    <phoneticPr fontId="2"/>
  </si>
  <si>
    <t>cal/kg</t>
    <phoneticPr fontId="2"/>
  </si>
  <si>
    <t>https://www.bing.com/ck/a?!&amp;&amp;p=4833515f1b203452JmltdHM9MTY4Mzg0OTYwMCZpZ3VpZD0xYjBhMzgwYi1iOTBlLTZlNzEtMDkxMy0yYWY2Yjg5NzZmOTImaW5zaWQ9NTI5MQ&amp;ptn=3&amp;hsh=3&amp;fclid=1b0a380b-b90e-6e71-0913-2af6b8976f92&amp;psq=PLAの燃焼熱&amp;u=a1aHR0cHM6Ly93d3cuanN0YWdlLmpzdC5nby5qcC9hcnRpY2xlL2ZpYmVyLzYyLzExLzYyXzExX1BfMzIzL19wZGY&amp;ntb=1</t>
  </si>
  <si>
    <t>事業者名</t>
    <rPh sb="0" eb="4">
      <t>ジギョウシャメイ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</si>
</sst>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quot; 円&quot;"/>
    <numFmt numFmtId="207" formatCode="#,##0&quot;ｔ-CO2&quot;"/>
    <numFmt numFmtId="208" formatCode="#,###&quot; 円／t-CO2&quot;"/>
    <numFmt numFmtId="209" formatCode="#,###&quot; 円/t&quot;"/>
  </numFmts>
  <fonts count="73">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14"/>
      <name val="ＭＳ Ｐゴシック"/>
      <family val="3"/>
      <charset val="128"/>
      <scheme val="minor"/>
    </font>
    <font>
      <sz val="10"/>
      <name val="ＭＳ Ｐゴシック"/>
      <family val="3"/>
      <charset val="128"/>
    </font>
    <font>
      <sz val="9"/>
      <name val="ＭＳ Ｐゴシック"/>
      <family val="3"/>
      <charset val="128"/>
    </font>
    <font>
      <sz val="11"/>
      <color theme="1"/>
      <name val="ＭＳ ゴシック"/>
      <family val="3"/>
      <charset val="128"/>
    </font>
    <font>
      <sz val="22"/>
      <color theme="1"/>
      <name val="HGP創英ﾌﾟﾚｾﾞﾝｽEB"/>
      <family val="1"/>
      <charset val="128"/>
    </font>
    <font>
      <sz val="16"/>
      <color theme="1"/>
      <name val="HG丸ｺﾞｼｯｸM-PRO"/>
      <family val="3"/>
      <charset val="128"/>
    </font>
    <font>
      <sz val="11"/>
      <color theme="1"/>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6">
    <xf numFmtId="0" fontId="0" fillId="0" borderId="0">
      <alignment vertical="center"/>
    </xf>
    <xf numFmtId="0" fontId="14" fillId="0" borderId="0"/>
    <xf numFmtId="38" fontId="16" fillId="0" borderId="0" applyFont="0" applyFill="0" applyBorder="0" applyAlignment="0" applyProtection="0">
      <alignment vertical="center"/>
    </xf>
    <xf numFmtId="0" fontId="16" fillId="0" borderId="0">
      <alignment vertical="center"/>
    </xf>
    <xf numFmtId="183" fontId="25" fillId="0" borderId="0">
      <alignment vertical="top"/>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50" fillId="0" borderId="0" applyNumberFormat="0" applyFill="0" applyBorder="0" applyAlignment="0" applyProtection="0">
      <alignment vertical="top"/>
      <protection locked="0"/>
    </xf>
    <xf numFmtId="0" fontId="1" fillId="0" borderId="0">
      <alignment vertical="center"/>
    </xf>
    <xf numFmtId="38" fontId="14" fillId="0" borderId="0" applyFont="0" applyFill="0" applyBorder="0" applyAlignment="0" applyProtection="0"/>
    <xf numFmtId="0" fontId="14" fillId="0" borderId="0">
      <alignment vertical="center"/>
    </xf>
  </cellStyleXfs>
  <cellXfs count="614">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178" fontId="9" fillId="0" borderId="0" xfId="0" applyNumberFormat="1" applyFont="1" applyAlignment="1">
      <alignment horizontal="left" vertical="center" indent="1"/>
    </xf>
    <xf numFmtId="179" fontId="10" fillId="0" borderId="0" xfId="0" applyNumberFormat="1" applyFont="1" applyAlignment="1">
      <alignment vertical="center" wrapText="1"/>
    </xf>
    <xf numFmtId="178" fontId="9" fillId="0" borderId="0" xfId="0" applyNumberFormat="1" applyFont="1" applyAlignment="1">
      <alignment horizontal="right" vertical="center" indent="1"/>
    </xf>
    <xf numFmtId="0" fontId="0" fillId="0" borderId="1" xfId="0" applyBorder="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vertical="center" wrapText="1"/>
    </xf>
    <xf numFmtId="0" fontId="4" fillId="0" borderId="11" xfId="0" applyFont="1" applyBorder="1" applyAlignment="1">
      <alignment horizontal="center" vertical="center"/>
    </xf>
    <xf numFmtId="0" fontId="19"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4" fillId="2" borderId="0" xfId="0" applyFont="1" applyFill="1" applyAlignment="1">
      <alignment horizontal="center" vertical="center"/>
    </xf>
    <xf numFmtId="182"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21" fillId="2" borderId="11" xfId="0" applyFont="1" applyFill="1" applyBorder="1" applyAlignment="1">
      <alignment horizontal="center" vertical="center"/>
    </xf>
    <xf numFmtId="182" fontId="22" fillId="2" borderId="11" xfId="0" applyNumberFormat="1" applyFont="1" applyFill="1" applyBorder="1" applyAlignment="1">
      <alignment horizontal="center" vertical="center"/>
    </xf>
    <xf numFmtId="0" fontId="24" fillId="2" borderId="0" xfId="0" applyFont="1" applyFill="1">
      <alignment vertical="center"/>
    </xf>
    <xf numFmtId="0" fontId="21" fillId="2" borderId="0" xfId="0" applyFont="1" applyFill="1">
      <alignment vertical="center"/>
    </xf>
    <xf numFmtId="0" fontId="26" fillId="0" borderId="5" xfId="0" applyFont="1" applyBorder="1" applyAlignment="1">
      <alignment horizontal="justify" vertical="center"/>
    </xf>
    <xf numFmtId="0" fontId="23" fillId="2" borderId="0" xfId="0" applyFont="1" applyFill="1" applyAlignment="1">
      <alignment horizontal="left" vertical="center"/>
    </xf>
    <xf numFmtId="0" fontId="20" fillId="2" borderId="0" xfId="0" applyFont="1" applyFill="1" applyAlignment="1">
      <alignment horizontal="left" vertical="center"/>
    </xf>
    <xf numFmtId="0" fontId="26" fillId="2" borderId="1" xfId="0" applyFont="1" applyFill="1" applyBorder="1" applyAlignment="1">
      <alignment horizontal="center" vertical="center"/>
    </xf>
    <xf numFmtId="182" fontId="22" fillId="2" borderId="0" xfId="0" applyNumberFormat="1" applyFont="1" applyFill="1" applyAlignment="1">
      <alignment horizontal="center" vertical="center"/>
    </xf>
    <xf numFmtId="0" fontId="26" fillId="0" borderId="1" xfId="0" applyFont="1" applyBorder="1" applyAlignment="1">
      <alignment horizontal="justify" vertical="center"/>
    </xf>
    <xf numFmtId="0" fontId="29" fillId="0" borderId="0" xfId="3" applyFont="1">
      <alignment vertical="center"/>
    </xf>
    <xf numFmtId="0" fontId="16" fillId="0" borderId="0" xfId="3">
      <alignment vertical="center"/>
    </xf>
    <xf numFmtId="0" fontId="16" fillId="0" borderId="0" xfId="3" applyAlignment="1">
      <alignment horizontal="right"/>
    </xf>
    <xf numFmtId="0" fontId="28" fillId="0" borderId="0" xfId="3" applyFont="1">
      <alignment vertical="center"/>
    </xf>
    <xf numFmtId="0" fontId="8" fillId="0" borderId="0" xfId="3" applyFont="1" applyAlignment="1">
      <alignment vertical="center" wrapText="1"/>
    </xf>
    <xf numFmtId="0" fontId="16" fillId="0" borderId="0" xfId="3" applyAlignment="1">
      <alignment horizontal="center" vertical="center"/>
    </xf>
    <xf numFmtId="177" fontId="16" fillId="0" borderId="0" xfId="3" applyNumberFormat="1">
      <alignment vertical="center"/>
    </xf>
    <xf numFmtId="0" fontId="30" fillId="0" borderId="0" xfId="3" applyFont="1">
      <alignment vertical="center"/>
    </xf>
    <xf numFmtId="0" fontId="16" fillId="0" borderId="1" xfId="3" applyBorder="1" applyAlignment="1">
      <alignment horizontal="center" vertical="center"/>
    </xf>
    <xf numFmtId="0" fontId="16" fillId="0" borderId="1" xfId="3" applyBorder="1">
      <alignment vertical="center"/>
    </xf>
    <xf numFmtId="0" fontId="30" fillId="0" borderId="0" xfId="0" applyFont="1">
      <alignment vertical="center"/>
    </xf>
    <xf numFmtId="0" fontId="32" fillId="0" borderId="6" xfId="0" applyFont="1" applyBorder="1" applyAlignment="1">
      <alignment vertical="center" wrapText="1" readingOrder="1"/>
    </xf>
    <xf numFmtId="0" fontId="32" fillId="0" borderId="2" xfId="0" applyFont="1" applyBorder="1" applyAlignment="1">
      <alignment vertical="center" wrapText="1" readingOrder="1"/>
    </xf>
    <xf numFmtId="0" fontId="16" fillId="0" borderId="12" xfId="3" applyBorder="1">
      <alignment vertical="center"/>
    </xf>
    <xf numFmtId="0" fontId="0" fillId="0" borderId="12" xfId="0" applyBorder="1">
      <alignment vertical="center"/>
    </xf>
    <xf numFmtId="0" fontId="6" fillId="0" borderId="0" xfId="0" applyFont="1" applyAlignment="1">
      <alignment horizontal="left" vertical="center" wrapText="1"/>
    </xf>
    <xf numFmtId="0" fontId="35" fillId="0" borderId="0" xfId="0" applyFont="1">
      <alignment vertical="center"/>
    </xf>
    <xf numFmtId="0" fontId="7" fillId="0" borderId="0" xfId="0" applyFont="1">
      <alignment vertical="center"/>
    </xf>
    <xf numFmtId="184" fontId="37" fillId="0" borderId="1" xfId="4" applyNumberFormat="1" applyFont="1" applyBorder="1" applyAlignment="1">
      <alignment horizontal="center" vertical="center" wrapText="1"/>
    </xf>
    <xf numFmtId="0" fontId="39" fillId="0" borderId="0" xfId="0" applyFont="1">
      <alignment vertical="center"/>
    </xf>
    <xf numFmtId="0" fontId="40" fillId="0" borderId="5" xfId="0" applyFont="1" applyBorder="1" applyAlignment="1">
      <alignment vertical="center" readingOrder="1"/>
    </xf>
    <xf numFmtId="0" fontId="0" fillId="0" borderId="1" xfId="0" applyBorder="1">
      <alignment vertical="center"/>
    </xf>
    <xf numFmtId="0" fontId="0" fillId="0" borderId="3" xfId="0" applyBorder="1">
      <alignment vertical="center"/>
    </xf>
    <xf numFmtId="0" fontId="36" fillId="0" borderId="3" xfId="0" applyFont="1" applyBorder="1" applyAlignment="1">
      <alignment horizontal="center" vertical="center" wrapText="1" readingOrder="1"/>
    </xf>
    <xf numFmtId="0" fontId="0" fillId="0" borderId="6" xfId="0" applyBorder="1">
      <alignmen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lignment horizontal="center" vertical="center"/>
    </xf>
    <xf numFmtId="0" fontId="16" fillId="0" borderId="1" xfId="3" applyBorder="1" applyAlignment="1">
      <alignment horizontal="center" vertical="center" wrapText="1"/>
    </xf>
    <xf numFmtId="38" fontId="3" fillId="3" borderId="1" xfId="5" applyFont="1" applyFill="1" applyBorder="1" applyAlignment="1">
      <alignment horizontal="center" vertical="center"/>
    </xf>
    <xf numFmtId="182" fontId="3" fillId="0" borderId="1" xfId="3" applyNumberFormat="1" applyFont="1" applyBorder="1" applyAlignment="1">
      <alignment horizontal="center" vertical="center"/>
    </xf>
    <xf numFmtId="0" fontId="41" fillId="0" borderId="1" xfId="3" applyFont="1" applyBorder="1" applyAlignment="1">
      <alignment horizontal="justify" vertical="center"/>
    </xf>
    <xf numFmtId="182" fontId="25" fillId="0" borderId="1" xfId="3" applyNumberFormat="1" applyFont="1" applyBorder="1" applyAlignment="1">
      <alignment horizontal="center" vertical="center"/>
    </xf>
    <xf numFmtId="0" fontId="41" fillId="0" borderId="1" xfId="3" applyFont="1" applyBorder="1" applyAlignment="1">
      <alignment horizontal="center" vertical="center"/>
    </xf>
    <xf numFmtId="185" fontId="42" fillId="0" borderId="0" xfId="3" applyNumberFormat="1" applyFont="1">
      <alignment vertical="center"/>
    </xf>
    <xf numFmtId="0" fontId="41" fillId="0" borderId="2" xfId="3" applyFont="1" applyBorder="1">
      <alignment vertical="center"/>
    </xf>
    <xf numFmtId="0" fontId="41" fillId="0" borderId="6" xfId="3" applyFont="1" applyBorder="1">
      <alignment vertical="center"/>
    </xf>
    <xf numFmtId="0" fontId="43" fillId="0" borderId="5" xfId="3" applyFont="1" applyBorder="1" applyAlignment="1">
      <alignment horizontal="left" vertical="center"/>
    </xf>
    <xf numFmtId="0" fontId="16" fillId="0" borderId="0" xfId="7">
      <alignment vertical="center"/>
    </xf>
    <xf numFmtId="186" fontId="16" fillId="0" borderId="0" xfId="7" applyNumberFormat="1">
      <alignment vertical="center"/>
    </xf>
    <xf numFmtId="38" fontId="16" fillId="4" borderId="1" xfId="8" applyFont="1" applyFill="1" applyBorder="1" applyAlignment="1">
      <alignment horizontal="center" vertical="center"/>
    </xf>
    <xf numFmtId="182" fontId="16" fillId="4" borderId="1" xfId="3" applyNumberFormat="1" applyFill="1" applyBorder="1" applyAlignment="1">
      <alignment horizontal="center" vertical="center"/>
    </xf>
    <xf numFmtId="2" fontId="16" fillId="0" borderId="1" xfId="3" applyNumberFormat="1" applyBorder="1" applyAlignment="1">
      <alignment horizontal="center" vertical="center"/>
    </xf>
    <xf numFmtId="0" fontId="41" fillId="0" borderId="0" xfId="3" applyFont="1" applyAlignment="1">
      <alignment horizontal="center" vertical="center"/>
    </xf>
    <xf numFmtId="182" fontId="16" fillId="0" borderId="0" xfId="3" applyNumberFormat="1" applyAlignment="1">
      <alignment horizontal="center" vertical="center"/>
    </xf>
    <xf numFmtId="2" fontId="16" fillId="0" borderId="0" xfId="3" applyNumberFormat="1" applyAlignment="1">
      <alignment horizontal="center" vertical="center"/>
    </xf>
    <xf numFmtId="187" fontId="16" fillId="0" borderId="1" xfId="3" applyNumberFormat="1" applyBorder="1">
      <alignment vertical="center"/>
    </xf>
    <xf numFmtId="0" fontId="16" fillId="0" borderId="1" xfId="7" applyBorder="1">
      <alignment vertical="center"/>
    </xf>
    <xf numFmtId="0" fontId="16" fillId="0" borderId="1" xfId="7" applyBorder="1" applyAlignment="1">
      <alignment horizontal="center" vertical="center"/>
    </xf>
    <xf numFmtId="0" fontId="45" fillId="0" borderId="1" xfId="9" applyBorder="1">
      <alignment vertical="center"/>
    </xf>
    <xf numFmtId="0" fontId="16" fillId="0" borderId="1" xfId="7" applyBorder="1" applyAlignment="1">
      <alignment vertical="center" wrapText="1"/>
    </xf>
    <xf numFmtId="0" fontId="16" fillId="0" borderId="1" xfId="7" applyBorder="1" applyAlignment="1">
      <alignment horizontal="center" vertical="center" wrapText="1"/>
    </xf>
    <xf numFmtId="0" fontId="41" fillId="0" borderId="1" xfId="7" applyFont="1" applyBorder="1" applyAlignment="1">
      <alignment horizontal="center" vertical="center"/>
    </xf>
    <xf numFmtId="0" fontId="16" fillId="0" borderId="0" xfId="7" applyAlignment="1">
      <alignment horizontal="center" vertical="center"/>
    </xf>
    <xf numFmtId="0" fontId="41" fillId="0" borderId="1" xfId="7" applyFont="1" applyBorder="1" applyAlignment="1">
      <alignment horizontal="justify" vertical="center"/>
    </xf>
    <xf numFmtId="0" fontId="41" fillId="0" borderId="1" xfId="7" applyFont="1" applyBorder="1" applyAlignment="1">
      <alignment horizontal="left" vertical="center"/>
    </xf>
    <xf numFmtId="0" fontId="11" fillId="0" borderId="1" xfId="0" applyFont="1" applyBorder="1" applyAlignment="1">
      <alignment horizontal="right" vertical="center"/>
    </xf>
    <xf numFmtId="38" fontId="11" fillId="0" borderId="1" xfId="2" applyFont="1" applyBorder="1" applyAlignment="1">
      <alignment horizontal="right" vertical="center"/>
    </xf>
    <xf numFmtId="0" fontId="14" fillId="0" borderId="0" xfId="10">
      <alignment vertical="center"/>
    </xf>
    <xf numFmtId="0" fontId="14" fillId="0" borderId="0" xfId="10" quotePrefix="1">
      <alignment vertical="center"/>
    </xf>
    <xf numFmtId="38" fontId="0" fillId="0" borderId="0" xfId="11" applyFont="1">
      <alignment vertical="center"/>
    </xf>
    <xf numFmtId="0" fontId="14" fillId="2" borderId="0" xfId="10" applyFill="1" applyAlignment="1">
      <alignment vertical="center" wrapText="1"/>
    </xf>
    <xf numFmtId="0" fontId="14" fillId="2" borderId="0" xfId="10" applyFill="1" applyAlignment="1">
      <alignment horizontal="right" vertical="center"/>
    </xf>
    <xf numFmtId="0" fontId="14" fillId="2" borderId="0" xfId="10" applyFill="1" applyAlignment="1">
      <alignment horizontal="right" vertical="center" indent="2"/>
    </xf>
    <xf numFmtId="0" fontId="14" fillId="2" borderId="23" xfId="10" applyFill="1" applyBorder="1" applyAlignment="1">
      <alignment horizontal="left" vertical="center" wrapText="1"/>
    </xf>
    <xf numFmtId="0" fontId="14" fillId="2" borderId="24" xfId="10" applyFill="1" applyBorder="1" applyAlignment="1">
      <alignment horizontal="left" vertical="center" wrapText="1"/>
    </xf>
    <xf numFmtId="0" fontId="14" fillId="2" borderId="25" xfId="10" applyFill="1" applyBorder="1" applyAlignment="1">
      <alignment horizontal="left" vertical="center" wrapText="1"/>
    </xf>
    <xf numFmtId="0" fontId="14" fillId="2" borderId="26" xfId="10" applyFill="1" applyBorder="1" applyAlignment="1">
      <alignment horizontal="left" vertical="center" wrapText="1"/>
    </xf>
    <xf numFmtId="0" fontId="14" fillId="2" borderId="27" xfId="10" applyFill="1" applyBorder="1" applyAlignment="1">
      <alignment horizontal="left" vertical="center" wrapText="1"/>
    </xf>
    <xf numFmtId="9" fontId="14" fillId="2" borderId="28"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3" fontId="14" fillId="2" borderId="29" xfId="10" applyNumberFormat="1" applyFill="1" applyBorder="1" applyAlignment="1">
      <alignment horizontal="right" vertical="center" wrapText="1"/>
    </xf>
    <xf numFmtId="0" fontId="14" fillId="2" borderId="30" xfId="10" applyFill="1" applyBorder="1" applyAlignment="1">
      <alignment horizontal="right" vertical="center" wrapText="1"/>
    </xf>
    <xf numFmtId="0" fontId="14" fillId="2" borderId="31" xfId="10" applyFill="1" applyBorder="1" applyAlignment="1">
      <alignment vertical="center" shrinkToFit="1"/>
    </xf>
    <xf numFmtId="0" fontId="14" fillId="0" borderId="0" xfId="10" applyAlignment="1">
      <alignment horizontal="center" vertical="center"/>
    </xf>
    <xf numFmtId="0" fontId="14" fillId="2" borderId="33" xfId="10" applyFill="1" applyBorder="1" applyAlignment="1">
      <alignment horizontal="left" vertical="center" wrapText="1"/>
    </xf>
    <xf numFmtId="189" fontId="14" fillId="2" borderId="34" xfId="10" applyNumberFormat="1" applyFill="1" applyBorder="1" applyAlignment="1">
      <alignment horizontal="left" vertical="center" wrapText="1"/>
    </xf>
    <xf numFmtId="0" fontId="14" fillId="2" borderId="34" xfId="10" applyFill="1" applyBorder="1" applyAlignment="1">
      <alignment horizontal="left" vertical="center" wrapText="1"/>
    </xf>
    <xf numFmtId="0" fontId="14" fillId="2" borderId="35" xfId="10" applyFill="1" applyBorder="1" applyAlignment="1">
      <alignment horizontal="left" vertical="center" wrapText="1"/>
    </xf>
    <xf numFmtId="189" fontId="47" fillId="2" borderId="36" xfId="10" applyNumberFormat="1" applyFont="1" applyFill="1" applyBorder="1" applyAlignment="1">
      <alignment horizontal="left" vertical="center" wrapText="1"/>
    </xf>
    <xf numFmtId="0" fontId="14" fillId="2" borderId="37" xfId="10" applyFill="1" applyBorder="1" applyAlignment="1">
      <alignment horizontal="left" vertical="center" wrapText="1"/>
    </xf>
    <xf numFmtId="3" fontId="14" fillId="2" borderId="40" xfId="10" applyNumberFormat="1" applyFill="1" applyBorder="1" applyAlignment="1">
      <alignment horizontal="right" vertical="center" wrapText="1"/>
    </xf>
    <xf numFmtId="0" fontId="14" fillId="2" borderId="41" xfId="10" applyFill="1" applyBorder="1" applyAlignment="1">
      <alignment horizontal="right" vertical="center" wrapText="1"/>
    </xf>
    <xf numFmtId="0" fontId="14" fillId="2" borderId="42" xfId="10" applyFill="1" applyBorder="1" applyAlignment="1">
      <alignment horizontal="center" vertical="center" wrapText="1"/>
    </xf>
    <xf numFmtId="0" fontId="14" fillId="2" borderId="42" xfId="10" applyFill="1" applyBorder="1" applyAlignment="1">
      <alignment vertical="center" shrinkToFit="1"/>
    </xf>
    <xf numFmtId="0" fontId="14" fillId="4" borderId="12" xfId="10" applyFill="1" applyBorder="1">
      <alignment vertical="center"/>
    </xf>
    <xf numFmtId="189" fontId="14" fillId="0" borderId="0" xfId="10" applyNumberFormat="1">
      <alignment vertical="center"/>
    </xf>
    <xf numFmtId="189" fontId="14" fillId="2" borderId="33" xfId="10" applyNumberFormat="1" applyFill="1" applyBorder="1" applyAlignment="1">
      <alignment horizontal="left" vertical="center" wrapText="1"/>
    </xf>
    <xf numFmtId="0" fontId="47" fillId="2" borderId="36" xfId="10" applyFont="1" applyFill="1" applyBorder="1" applyAlignment="1">
      <alignment horizontal="left" vertical="center" wrapText="1"/>
    </xf>
    <xf numFmtId="17" fontId="14" fillId="0" borderId="0" xfId="10" quotePrefix="1" applyNumberFormat="1" applyAlignment="1">
      <alignment horizontal="center" vertical="center"/>
    </xf>
    <xf numFmtId="185" fontId="14" fillId="2" borderId="34" xfId="10" applyNumberFormat="1" applyFill="1" applyBorder="1" applyAlignment="1">
      <alignment horizontal="left" vertical="center" wrapText="1"/>
    </xf>
    <xf numFmtId="38" fontId="0" fillId="4" borderId="12" xfId="11" applyFont="1" applyFill="1" applyBorder="1">
      <alignment vertical="center"/>
    </xf>
    <xf numFmtId="0" fontId="14" fillId="0" borderId="0" xfId="10" applyAlignment="1">
      <alignment horizontal="right" vertical="center"/>
    </xf>
    <xf numFmtId="9" fontId="14" fillId="2" borderId="45" xfId="10" applyNumberFormat="1" applyFill="1" applyBorder="1" applyAlignment="1">
      <alignment horizontal="center" vertical="center" wrapText="1"/>
    </xf>
    <xf numFmtId="9" fontId="14" fillId="2" borderId="37" xfId="10" applyNumberFormat="1" applyFill="1" applyBorder="1" applyAlignment="1">
      <alignment horizontal="center" vertical="center" wrapText="1"/>
    </xf>
    <xf numFmtId="185" fontId="47" fillId="2" borderId="36" xfId="10" applyNumberFormat="1" applyFont="1" applyFill="1" applyBorder="1" applyAlignment="1">
      <alignment horizontal="left" vertical="center" wrapText="1"/>
    </xf>
    <xf numFmtId="0" fontId="14" fillId="2" borderId="36" xfId="10" applyFill="1" applyBorder="1" applyAlignment="1">
      <alignment horizontal="left" vertical="center" wrapText="1"/>
    </xf>
    <xf numFmtId="0" fontId="14" fillId="2" borderId="40" xfId="10" applyFill="1" applyBorder="1" applyAlignment="1">
      <alignment horizontal="right" vertical="center" wrapText="1"/>
    </xf>
    <xf numFmtId="0" fontId="14" fillId="0" borderId="0" xfId="10" applyAlignment="1">
      <alignment horizontal="right" vertical="center" wrapText="1"/>
    </xf>
    <xf numFmtId="3" fontId="14" fillId="2" borderId="30" xfId="10" applyNumberFormat="1" applyFill="1" applyBorder="1" applyAlignment="1">
      <alignment horizontal="right" vertical="center" wrapText="1"/>
    </xf>
    <xf numFmtId="3" fontId="14" fillId="2" borderId="41" xfId="10" applyNumberFormat="1" applyFill="1" applyBorder="1" applyAlignment="1">
      <alignment horizontal="right" vertical="center" wrapText="1"/>
    </xf>
    <xf numFmtId="0" fontId="14" fillId="2" borderId="41" xfId="10" applyFill="1" applyBorder="1" applyAlignment="1">
      <alignment horizontal="justify" vertical="center" wrapText="1"/>
    </xf>
    <xf numFmtId="0" fontId="14" fillId="2" borderId="51" xfId="10" applyFill="1" applyBorder="1" applyAlignment="1">
      <alignment horizontal="center" vertical="center" wrapText="1"/>
    </xf>
    <xf numFmtId="0" fontId="14" fillId="2" borderId="51" xfId="10" applyFill="1" applyBorder="1" applyAlignment="1">
      <alignment horizontal="center" vertical="center" shrinkToFit="1"/>
    </xf>
    <xf numFmtId="9" fontId="14" fillId="2" borderId="55" xfId="10" applyNumberFormat="1" applyFill="1" applyBorder="1" applyAlignment="1">
      <alignment horizontal="center" vertical="center" wrapText="1"/>
    </xf>
    <xf numFmtId="9" fontId="14" fillId="2" borderId="56" xfId="10" applyNumberFormat="1" applyFill="1" applyBorder="1" applyAlignment="1">
      <alignment horizontal="center" vertical="center" wrapText="1"/>
    </xf>
    <xf numFmtId="0" fontId="14" fillId="2" borderId="42" xfId="10" applyFill="1" applyBorder="1" applyAlignment="1">
      <alignment horizontal="center" vertical="center" shrinkToFit="1"/>
    </xf>
    <xf numFmtId="0" fontId="14" fillId="2" borderId="0" xfId="10" applyFill="1">
      <alignment vertical="center"/>
    </xf>
    <xf numFmtId="0" fontId="26" fillId="2" borderId="0" xfId="10" applyFont="1" applyFill="1" applyAlignment="1">
      <alignment vertical="center" wrapText="1"/>
    </xf>
    <xf numFmtId="0" fontId="14" fillId="2" borderId="0" xfId="10" applyFill="1" applyAlignment="1">
      <alignment vertical="top" wrapText="1"/>
    </xf>
    <xf numFmtId="0" fontId="14" fillId="2" borderId="0" xfId="10" applyFill="1" applyAlignment="1">
      <alignment horizontal="left" vertical="center" indent="2"/>
    </xf>
    <xf numFmtId="0" fontId="26" fillId="2" borderId="1" xfId="10" applyFont="1" applyFill="1" applyBorder="1" applyAlignment="1">
      <alignment horizontal="center" vertical="center" wrapText="1"/>
    </xf>
    <xf numFmtId="0" fontId="26" fillId="2" borderId="3" xfId="10" applyFont="1" applyFill="1" applyBorder="1" applyAlignment="1">
      <alignment horizontal="center" vertical="center" wrapText="1"/>
    </xf>
    <xf numFmtId="0" fontId="14" fillId="2" borderId="0" xfId="10" applyFill="1" applyAlignment="1">
      <alignment horizontal="left" vertical="center" indent="1"/>
    </xf>
    <xf numFmtId="0" fontId="14" fillId="2" borderId="41" xfId="10" applyFill="1" applyBorder="1">
      <alignment vertical="center"/>
    </xf>
    <xf numFmtId="0" fontId="14" fillId="2" borderId="45" xfId="10" applyFill="1" applyBorder="1">
      <alignment vertical="center"/>
    </xf>
    <xf numFmtId="0" fontId="14" fillId="2" borderId="38" xfId="10" applyFill="1" applyBorder="1">
      <alignment vertical="center"/>
    </xf>
    <xf numFmtId="0" fontId="14" fillId="2" borderId="0" xfId="10" applyFill="1" applyAlignment="1">
      <alignment horizontal="center" vertical="center"/>
    </xf>
    <xf numFmtId="0" fontId="14" fillId="2" borderId="71" xfId="10" applyFill="1" applyBorder="1">
      <alignment vertical="center"/>
    </xf>
    <xf numFmtId="0" fontId="14" fillId="2" borderId="72" xfId="10" applyFill="1" applyBorder="1">
      <alignment vertical="center"/>
    </xf>
    <xf numFmtId="0" fontId="14" fillId="2" borderId="72" xfId="10" applyFill="1" applyBorder="1" applyAlignment="1">
      <alignment vertical="center" wrapText="1"/>
    </xf>
    <xf numFmtId="0" fontId="14" fillId="2" borderId="73" xfId="10" applyFill="1" applyBorder="1" applyAlignment="1">
      <alignment vertical="center" wrapText="1"/>
    </xf>
    <xf numFmtId="0" fontId="14" fillId="2" borderId="85" xfId="10" applyFill="1" applyBorder="1">
      <alignment vertical="center"/>
    </xf>
    <xf numFmtId="0" fontId="52" fillId="2" borderId="11" xfId="10" applyFont="1" applyFill="1" applyBorder="1">
      <alignment vertical="center"/>
    </xf>
    <xf numFmtId="0" fontId="14" fillId="2" borderId="78" xfId="10" applyFill="1" applyBorder="1">
      <alignment vertical="center"/>
    </xf>
    <xf numFmtId="0" fontId="14" fillId="2" borderId="20" xfId="10" applyFill="1" applyBorder="1">
      <alignment vertical="center"/>
    </xf>
    <xf numFmtId="0" fontId="14" fillId="2" borderId="20" xfId="10" applyFill="1" applyBorder="1" applyAlignment="1">
      <alignment vertical="center" wrapText="1"/>
    </xf>
    <xf numFmtId="0" fontId="14" fillId="2" borderId="19" xfId="10" applyFill="1" applyBorder="1" applyAlignment="1">
      <alignment vertical="center" wrapText="1"/>
    </xf>
    <xf numFmtId="0" fontId="53" fillId="2" borderId="0" xfId="10" applyFont="1" applyFill="1">
      <alignment vertical="center"/>
    </xf>
    <xf numFmtId="0" fontId="0" fillId="0" borderId="0" xfId="3" applyFont="1" applyAlignment="1">
      <alignment horizontal="center" vertical="center"/>
    </xf>
    <xf numFmtId="190" fontId="16" fillId="0" borderId="13" xfId="2" applyNumberFormat="1" applyBorder="1">
      <alignment vertical="center"/>
    </xf>
    <xf numFmtId="191" fontId="16" fillId="0" borderId="13" xfId="3" applyNumberFormat="1" applyBorder="1" applyAlignment="1">
      <alignment horizontal="center" vertical="center"/>
    </xf>
    <xf numFmtId="192" fontId="16" fillId="0" borderId="13" xfId="3" applyNumberFormat="1" applyBorder="1">
      <alignment vertical="center"/>
    </xf>
    <xf numFmtId="193" fontId="54" fillId="0" borderId="13" xfId="0" applyNumberFormat="1" applyFont="1" applyBorder="1">
      <alignment vertical="center"/>
    </xf>
    <xf numFmtId="193" fontId="0" fillId="0" borderId="12" xfId="0" applyNumberFormat="1" applyBorder="1">
      <alignment vertical="center"/>
    </xf>
    <xf numFmtId="0" fontId="55" fillId="0" borderId="0" xfId="0" applyFont="1">
      <alignment vertical="center"/>
    </xf>
    <xf numFmtId="193" fontId="0" fillId="0" borderId="0" xfId="0" applyNumberFormat="1">
      <alignment vertical="center"/>
    </xf>
    <xf numFmtId="0" fontId="14" fillId="4" borderId="0" xfId="10" applyFill="1">
      <alignment vertical="center"/>
    </xf>
    <xf numFmtId="0" fontId="0" fillId="0" borderId="0" xfId="0" applyAlignment="1">
      <alignment horizontal="center" vertical="center" textRotation="255"/>
    </xf>
    <xf numFmtId="193" fontId="16" fillId="0" borderId="1" xfId="3" applyNumberFormat="1" applyBorder="1">
      <alignment vertical="center"/>
    </xf>
    <xf numFmtId="0" fontId="0" fillId="0" borderId="1" xfId="3" applyFont="1" applyBorder="1" applyAlignment="1">
      <alignment horizontal="center" vertical="center"/>
    </xf>
    <xf numFmtId="193" fontId="16" fillId="0" borderId="4" xfId="3" applyNumberFormat="1" applyBorder="1">
      <alignment vertical="center"/>
    </xf>
    <xf numFmtId="193" fontId="16" fillId="0" borderId="3" xfId="3" applyNumberFormat="1" applyBorder="1">
      <alignment vertical="center"/>
    </xf>
    <xf numFmtId="0" fontId="16" fillId="0" borderId="5" xfId="3" applyBorder="1">
      <alignment vertical="center"/>
    </xf>
    <xf numFmtId="0" fontId="0" fillId="0" borderId="0" xfId="0" applyAlignment="1">
      <alignment horizontal="left" vertical="center" wrapText="1"/>
    </xf>
    <xf numFmtId="0" fontId="30" fillId="0" borderId="0" xfId="3" applyFont="1" applyAlignment="1">
      <alignment horizontal="center" vertical="center"/>
    </xf>
    <xf numFmtId="38" fontId="16" fillId="4" borderId="1" xfId="2" applyFill="1" applyBorder="1" applyAlignment="1">
      <alignment horizontal="right" vertical="center"/>
    </xf>
    <xf numFmtId="38" fontId="16" fillId="4" borderId="5" xfId="2" applyFill="1" applyBorder="1" applyAlignment="1">
      <alignment horizontal="right" vertical="center"/>
    </xf>
    <xf numFmtId="38" fontId="16" fillId="4" borderId="73" xfId="2" applyFill="1" applyBorder="1" applyAlignment="1">
      <alignment horizontal="right" vertical="center"/>
    </xf>
    <xf numFmtId="0" fontId="16" fillId="0" borderId="31" xfId="3" applyBorder="1">
      <alignment vertical="center"/>
    </xf>
    <xf numFmtId="190" fontId="16" fillId="0" borderId="88" xfId="2" applyNumberFormat="1" applyBorder="1">
      <alignment vertical="center"/>
    </xf>
    <xf numFmtId="191" fontId="16" fillId="0" borderId="89" xfId="3" applyNumberFormat="1" applyBorder="1" applyAlignment="1">
      <alignment horizontal="center" vertical="center"/>
    </xf>
    <xf numFmtId="192" fontId="16" fillId="0" borderId="89" xfId="3" applyNumberFormat="1" applyBorder="1">
      <alignment vertical="center"/>
    </xf>
    <xf numFmtId="190" fontId="16" fillId="0" borderId="17" xfId="2" applyNumberFormat="1" applyBorder="1">
      <alignment vertical="center"/>
    </xf>
    <xf numFmtId="191" fontId="16" fillId="0" borderId="17" xfId="3" applyNumberFormat="1" applyBorder="1" applyAlignment="1">
      <alignment horizontal="center" vertical="center"/>
    </xf>
    <xf numFmtId="192" fontId="16" fillId="0" borderId="17" xfId="3" applyNumberFormat="1" applyBorder="1">
      <alignment vertical="center"/>
    </xf>
    <xf numFmtId="193" fontId="54" fillId="0" borderId="17" xfId="0" applyNumberFormat="1" applyFont="1" applyBorder="1">
      <alignment vertical="center"/>
    </xf>
    <xf numFmtId="190" fontId="16" fillId="0" borderId="90" xfId="2" applyNumberFormat="1" applyBorder="1">
      <alignment vertical="center"/>
    </xf>
    <xf numFmtId="191" fontId="16" fillId="0" borderId="91" xfId="3" applyNumberFormat="1" applyBorder="1" applyAlignment="1">
      <alignment horizontal="center" vertical="center"/>
    </xf>
    <xf numFmtId="192" fontId="16" fillId="0" borderId="91" xfId="3" applyNumberFormat="1" applyBorder="1">
      <alignment vertical="center"/>
    </xf>
    <xf numFmtId="193" fontId="0" fillId="0" borderId="87" xfId="0" applyNumberFormat="1" applyBorder="1">
      <alignment vertical="center"/>
    </xf>
    <xf numFmtId="0" fontId="16" fillId="0" borderId="87" xfId="3" applyBorder="1">
      <alignment vertical="center"/>
    </xf>
    <xf numFmtId="0" fontId="56" fillId="0" borderId="12" xfId="3" applyFont="1" applyBorder="1">
      <alignment vertical="center"/>
    </xf>
    <xf numFmtId="195" fontId="0" fillId="0" borderId="12" xfId="1" applyNumberFormat="1" applyFont="1" applyBorder="1" applyAlignment="1">
      <alignment vertical="center" wrapText="1"/>
    </xf>
    <xf numFmtId="0" fontId="56" fillId="0" borderId="87" xfId="3" applyFont="1" applyBorder="1">
      <alignment vertical="center"/>
    </xf>
    <xf numFmtId="0" fontId="56" fillId="0" borderId="31" xfId="3" applyFont="1" applyBorder="1">
      <alignment vertical="center"/>
    </xf>
    <xf numFmtId="195" fontId="16" fillId="0" borderId="1" xfId="3" applyNumberFormat="1" applyBorder="1">
      <alignment vertical="center"/>
    </xf>
    <xf numFmtId="195" fontId="16" fillId="0" borderId="3" xfId="3" applyNumberFormat="1" applyBorder="1">
      <alignment vertical="center"/>
    </xf>
    <xf numFmtId="195" fontId="0" fillId="0" borderId="87" xfId="1" applyNumberFormat="1" applyFont="1" applyBorder="1" applyAlignment="1">
      <alignment vertical="center" wrapText="1"/>
    </xf>
    <xf numFmtId="0" fontId="0" fillId="0" borderId="87" xfId="0" applyBorder="1">
      <alignment vertical="center"/>
    </xf>
    <xf numFmtId="0" fontId="14"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195" fontId="16" fillId="0" borderId="12" xfId="3" applyNumberFormat="1" applyBorder="1">
      <alignment vertical="center"/>
    </xf>
    <xf numFmtId="0" fontId="57" fillId="0" borderId="77" xfId="0" applyFont="1" applyBorder="1" applyAlignment="1">
      <alignment horizontal="center" vertical="center" wrapText="1"/>
    </xf>
    <xf numFmtId="0" fontId="59" fillId="0" borderId="0" xfId="13" applyFont="1">
      <alignment vertical="center"/>
    </xf>
    <xf numFmtId="196" fontId="16" fillId="0" borderId="12" xfId="3" applyNumberFormat="1" applyBorder="1">
      <alignment vertical="center"/>
    </xf>
    <xf numFmtId="38" fontId="55" fillId="0" borderId="0" xfId="5" applyFont="1">
      <alignment vertical="center"/>
    </xf>
    <xf numFmtId="196" fontId="16" fillId="0" borderId="0" xfId="3" applyNumberFormat="1">
      <alignment vertical="center"/>
    </xf>
    <xf numFmtId="197" fontId="16" fillId="0" borderId="0" xfId="3" applyNumberFormat="1">
      <alignment vertical="center"/>
    </xf>
    <xf numFmtId="0" fontId="16"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6" fillId="6" borderId="0" xfId="3" applyFill="1" applyAlignment="1">
      <alignment horizontal="center" vertical="center"/>
    </xf>
    <xf numFmtId="0" fontId="0" fillId="6" borderId="0" xfId="3" applyFont="1" applyFill="1">
      <alignment vertical="center"/>
    </xf>
    <xf numFmtId="199" fontId="16" fillId="0" borderId="0" xfId="3" applyNumberFormat="1">
      <alignment vertical="center"/>
    </xf>
    <xf numFmtId="200" fontId="18" fillId="0" borderId="1" xfId="3" applyNumberFormat="1" applyFont="1" applyBorder="1">
      <alignment vertical="center"/>
    </xf>
    <xf numFmtId="176" fontId="18" fillId="0" borderId="1" xfId="3" applyNumberFormat="1" applyFont="1" applyBorder="1">
      <alignment vertical="center"/>
    </xf>
    <xf numFmtId="177" fontId="18" fillId="0" borderId="1" xfId="3" applyNumberFormat="1" applyFont="1" applyBorder="1">
      <alignment vertical="center"/>
    </xf>
    <xf numFmtId="0" fontId="18" fillId="0" borderId="1" xfId="3" applyFont="1" applyBorder="1" applyAlignment="1">
      <alignment horizontal="center" vertical="center"/>
    </xf>
    <xf numFmtId="0" fontId="18" fillId="0" borderId="1" xfId="3" applyFont="1" applyBorder="1">
      <alignment vertical="center"/>
    </xf>
    <xf numFmtId="0" fontId="18" fillId="0" borderId="2" xfId="3" applyFont="1" applyBorder="1">
      <alignment vertical="center"/>
    </xf>
    <xf numFmtId="201" fontId="16" fillId="0" borderId="1" xfId="3" applyNumberFormat="1" applyBorder="1">
      <alignment vertical="center"/>
    </xf>
    <xf numFmtId="200" fontId="16" fillId="0" borderId="1" xfId="3" applyNumberFormat="1" applyBorder="1">
      <alignment vertical="center"/>
    </xf>
    <xf numFmtId="176" fontId="16" fillId="0" borderId="1" xfId="3" applyNumberFormat="1" applyBorder="1">
      <alignment vertical="center"/>
    </xf>
    <xf numFmtId="202" fontId="16" fillId="0" borderId="1" xfId="3" applyNumberFormat="1" applyBorder="1">
      <alignment vertical="center"/>
    </xf>
    <xf numFmtId="203" fontId="16" fillId="0" borderId="1" xfId="3" applyNumberFormat="1" applyBorder="1">
      <alignment vertical="center"/>
    </xf>
    <xf numFmtId="203" fontId="16" fillId="0" borderId="2" xfId="3" applyNumberFormat="1" applyBorder="1">
      <alignment vertical="center"/>
    </xf>
    <xf numFmtId="0" fontId="3" fillId="0" borderId="1" xfId="3" applyFont="1" applyBorder="1" applyAlignment="1">
      <alignment horizontal="center" vertical="center"/>
    </xf>
    <xf numFmtId="0" fontId="16" fillId="0" borderId="0" xfId="3" applyAlignment="1">
      <alignment horizontal="right" vertical="center"/>
    </xf>
    <xf numFmtId="0" fontId="25"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7" fillId="0" borderId="4" xfId="3" applyFont="1" applyBorder="1" applyAlignment="1">
      <alignment horizontal="center" vertical="center" wrapText="1"/>
    </xf>
    <xf numFmtId="0" fontId="60" fillId="0" borderId="0" xfId="3" applyFont="1">
      <alignment vertical="center"/>
    </xf>
    <xf numFmtId="0" fontId="4" fillId="0" borderId="77" xfId="0" applyFont="1" applyBorder="1" applyAlignment="1">
      <alignment horizontal="center" vertical="center" wrapText="1"/>
    </xf>
    <xf numFmtId="0" fontId="61" fillId="0" borderId="0" xfId="0" applyFont="1" applyAlignment="1">
      <alignment vertical="center" wrapText="1"/>
    </xf>
    <xf numFmtId="0" fontId="0" fillId="0" borderId="3" xfId="0" applyBorder="1" applyProtection="1">
      <alignment vertical="center"/>
      <protection locked="0"/>
    </xf>
    <xf numFmtId="0" fontId="6" fillId="0" borderId="1" xfId="0" applyFont="1" applyBorder="1" applyProtection="1">
      <alignment vertical="center"/>
      <protection locked="0"/>
    </xf>
    <xf numFmtId="203" fontId="12" fillId="0" borderId="1" xfId="0" applyNumberFormat="1" applyFont="1" applyBorder="1" applyAlignment="1" applyProtection="1">
      <alignment horizontal="right" vertical="center" indent="1"/>
      <protection locked="0"/>
    </xf>
    <xf numFmtId="202" fontId="12" fillId="0" borderId="1" xfId="0" applyNumberFormat="1" applyFont="1" applyBorder="1" applyAlignment="1" applyProtection="1">
      <alignment horizontal="right" vertical="center" indent="1"/>
      <protection locked="0"/>
    </xf>
    <xf numFmtId="177" fontId="0" fillId="0" borderId="0" xfId="0" applyNumberFormat="1" applyAlignment="1" applyProtection="1">
      <alignment horizontal="center" vertical="center"/>
      <protection locked="0"/>
    </xf>
    <xf numFmtId="202" fontId="12" fillId="0" borderId="3" xfId="0" applyNumberFormat="1" applyFont="1" applyBorder="1" applyAlignment="1" applyProtection="1">
      <alignment horizontal="right" vertical="center" indent="1"/>
      <protection locked="0"/>
    </xf>
    <xf numFmtId="0" fontId="62" fillId="0" borderId="1" xfId="0" applyFont="1" applyBorder="1" applyProtection="1">
      <alignment vertical="center"/>
      <protection locked="0"/>
    </xf>
    <xf numFmtId="203" fontId="12" fillId="0" borderId="3" xfId="0" applyNumberFormat="1" applyFont="1" applyBorder="1" applyAlignment="1" applyProtection="1">
      <alignment horizontal="right" vertical="center" indent="1"/>
      <protection locked="0"/>
    </xf>
    <xf numFmtId="0" fontId="12" fillId="0" borderId="1" xfId="0" applyFont="1" applyBorder="1" applyAlignment="1">
      <alignment horizontal="center" vertical="center"/>
    </xf>
    <xf numFmtId="202" fontId="12" fillId="0" borderId="3" xfId="0" applyNumberFormat="1" applyFont="1" applyBorder="1" applyAlignment="1">
      <alignment horizontal="right" vertical="center" indent="1"/>
    </xf>
    <xf numFmtId="0" fontId="61" fillId="0" borderId="8" xfId="0" applyFont="1" applyBorder="1" applyAlignment="1">
      <alignment horizontal="center" vertical="center" wrapText="1"/>
    </xf>
    <xf numFmtId="0" fontId="6" fillId="0" borderId="5" xfId="0" applyFont="1" applyBorder="1" applyProtection="1">
      <alignment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61" fillId="0" borderId="77" xfId="0" applyFont="1" applyBorder="1" applyAlignment="1">
      <alignment vertical="center" wrapText="1"/>
    </xf>
    <xf numFmtId="181" fontId="12" fillId="0" borderId="1" xfId="0" applyNumberFormat="1" applyFont="1" applyBorder="1" applyAlignment="1">
      <alignment horizontal="right" vertical="center" indent="1"/>
    </xf>
    <xf numFmtId="0" fontId="4" fillId="0" borderId="4" xfId="0" applyFont="1" applyBorder="1" applyAlignment="1">
      <alignment horizontal="center" vertical="center" wrapText="1"/>
    </xf>
    <xf numFmtId="0" fontId="0" fillId="0" borderId="0" xfId="0" applyAlignment="1">
      <alignment horizontal="right" vertical="center"/>
    </xf>
    <xf numFmtId="38" fontId="37" fillId="0" borderId="1" xfId="2" applyFont="1" applyBorder="1" applyAlignment="1">
      <alignment horizontal="right" vertical="center" wrapText="1"/>
    </xf>
    <xf numFmtId="38" fontId="36" fillId="0" borderId="1" xfId="2" applyFont="1" applyBorder="1" applyAlignment="1">
      <alignment vertical="center" wrapText="1" readingOrder="1"/>
    </xf>
    <xf numFmtId="38" fontId="7" fillId="0" borderId="1" xfId="2" applyFont="1" applyBorder="1" applyAlignment="1">
      <alignment horizontal="right" vertical="center"/>
    </xf>
    <xf numFmtId="38" fontId="36" fillId="0" borderId="1" xfId="2" applyFont="1" applyBorder="1" applyAlignment="1">
      <alignment horizontal="right" vertical="center" wrapText="1" readingOrder="1"/>
    </xf>
    <xf numFmtId="0" fontId="60" fillId="0" borderId="0" xfId="0" applyFont="1" applyAlignment="1">
      <alignment horizontal="center" vertical="center"/>
    </xf>
    <xf numFmtId="0" fontId="60" fillId="0" borderId="0" xfId="0" applyFont="1" applyAlignment="1">
      <alignment horizontal="left" vertical="center"/>
    </xf>
    <xf numFmtId="38" fontId="65" fillId="0" borderId="1" xfId="2" applyFont="1" applyBorder="1" applyAlignment="1">
      <alignment vertical="center" wrapText="1" readingOrder="1"/>
    </xf>
    <xf numFmtId="38" fontId="16" fillId="0" borderId="0" xfId="8" applyFont="1" applyFill="1">
      <alignment vertical="center"/>
    </xf>
    <xf numFmtId="0" fontId="4" fillId="0" borderId="0" xfId="3" applyFont="1" applyAlignment="1">
      <alignment horizontal="center" vertical="center" wrapText="1"/>
    </xf>
    <xf numFmtId="200" fontId="18" fillId="0" borderId="0" xfId="3" applyNumberFormat="1" applyFont="1">
      <alignment vertical="center"/>
    </xf>
    <xf numFmtId="200" fontId="16" fillId="0" borderId="0" xfId="3" applyNumberFormat="1">
      <alignment vertical="center"/>
    </xf>
    <xf numFmtId="0" fontId="41" fillId="0" borderId="1" xfId="0" applyFont="1" applyBorder="1" applyAlignment="1">
      <alignment horizontal="justify" vertical="center"/>
    </xf>
    <xf numFmtId="182" fontId="3" fillId="0" borderId="1" xfId="0" applyNumberFormat="1" applyFont="1" applyBorder="1" applyAlignment="1">
      <alignment horizontal="center" vertical="center"/>
    </xf>
    <xf numFmtId="0" fontId="17" fillId="0" borderId="1" xfId="0" applyFont="1" applyBorder="1" applyAlignment="1">
      <alignment horizontal="center" vertical="center"/>
    </xf>
    <xf numFmtId="38" fontId="3" fillId="3" borderId="1" xfId="2" applyFont="1" applyFill="1" applyBorder="1" applyAlignment="1">
      <alignment horizontal="center" vertical="center"/>
    </xf>
    <xf numFmtId="0" fontId="41" fillId="0" borderId="1" xfId="0" applyFont="1" applyBorder="1" applyAlignment="1">
      <alignment horizontal="left" vertical="center" wrapText="1"/>
    </xf>
    <xf numFmtId="0" fontId="0" fillId="0" borderId="93" xfId="0" applyBorder="1" applyAlignment="1" applyProtection="1">
      <alignment horizontal="center" vertical="center"/>
      <protection locked="0"/>
    </xf>
    <xf numFmtId="0" fontId="18" fillId="0" borderId="1" xfId="0" applyFont="1" applyBorder="1" applyAlignment="1">
      <alignment horizontal="center" vertical="center"/>
    </xf>
    <xf numFmtId="0" fontId="66" fillId="0" borderId="1" xfId="0" applyFont="1" applyBorder="1" applyAlignment="1">
      <alignment horizontal="right" vertical="center"/>
    </xf>
    <xf numFmtId="197" fontId="16" fillId="0" borderId="0" xfId="3" applyNumberFormat="1" applyAlignment="1">
      <alignment horizontal="center" vertical="center"/>
    </xf>
    <xf numFmtId="38" fontId="37" fillId="0" borderId="1" xfId="4" applyNumberFormat="1" applyFont="1" applyBorder="1" applyAlignment="1">
      <alignment horizontal="center" vertical="center" wrapText="1"/>
    </xf>
    <xf numFmtId="0" fontId="14" fillId="0" borderId="0" xfId="15">
      <alignment vertical="center"/>
    </xf>
    <xf numFmtId="0" fontId="14" fillId="0" borderId="96" xfId="15" applyBorder="1">
      <alignment vertical="center"/>
    </xf>
    <xf numFmtId="0" fontId="14" fillId="0" borderId="97" xfId="15" applyBorder="1">
      <alignment vertical="center"/>
    </xf>
    <xf numFmtId="204" fontId="14" fillId="0" borderId="97" xfId="15" applyNumberFormat="1" applyBorder="1">
      <alignment vertical="center"/>
    </xf>
    <xf numFmtId="0" fontId="14" fillId="0" borderId="22" xfId="15" applyBorder="1">
      <alignment vertical="center"/>
    </xf>
    <xf numFmtId="0" fontId="14" fillId="0" borderId="98" xfId="15" applyBorder="1">
      <alignment vertical="center"/>
    </xf>
    <xf numFmtId="0" fontId="14" fillId="0" borderId="1" xfId="15" applyBorder="1">
      <alignment vertical="center"/>
    </xf>
    <xf numFmtId="0" fontId="14" fillId="0" borderId="32" xfId="15" applyBorder="1">
      <alignment vertical="center"/>
    </xf>
    <xf numFmtId="205" fontId="14" fillId="0" borderId="98" xfId="15" applyNumberFormat="1" applyBorder="1">
      <alignment vertical="center"/>
    </xf>
    <xf numFmtId="0" fontId="14" fillId="0" borderId="1" xfId="15" applyBorder="1" applyAlignment="1">
      <alignment horizontal="center" vertical="center"/>
    </xf>
    <xf numFmtId="204" fontId="14" fillId="0" borderId="1" xfId="15" applyNumberFormat="1" applyBorder="1" applyAlignment="1">
      <alignment horizontal="center" vertical="center"/>
    </xf>
    <xf numFmtId="0" fontId="67" fillId="0" borderId="1" xfId="15" applyFont="1" applyBorder="1" applyAlignment="1">
      <alignment horizontal="center" vertical="center"/>
    </xf>
    <xf numFmtId="0" fontId="67" fillId="0" borderId="32" xfId="15" applyFont="1" applyBorder="1" applyAlignment="1">
      <alignment horizontal="center" vertical="center" wrapText="1"/>
    </xf>
    <xf numFmtId="0" fontId="67" fillId="0" borderId="32" xfId="15" applyFont="1" applyBorder="1" applyAlignment="1">
      <alignment horizontal="center" vertical="center"/>
    </xf>
    <xf numFmtId="205" fontId="14" fillId="0" borderId="99" xfId="15" applyNumberFormat="1" applyBorder="1">
      <alignment vertical="center"/>
    </xf>
    <xf numFmtId="0" fontId="67" fillId="0" borderId="100" xfId="15" applyFont="1" applyBorder="1" applyAlignment="1">
      <alignment horizontal="center" vertical="center"/>
    </xf>
    <xf numFmtId="204" fontId="14" fillId="0" borderId="100" xfId="15" applyNumberFormat="1" applyBorder="1" applyAlignment="1">
      <alignment horizontal="center" vertical="center"/>
    </xf>
    <xf numFmtId="0" fontId="14" fillId="0" borderId="100" xfId="15" applyBorder="1" applyAlignment="1">
      <alignment horizontal="center" vertical="center"/>
    </xf>
    <xf numFmtId="0" fontId="14" fillId="0" borderId="100" xfId="15" applyBorder="1">
      <alignment vertical="center"/>
    </xf>
    <xf numFmtId="0" fontId="67" fillId="0" borderId="46" xfId="15" applyFont="1" applyBorder="1" applyAlignment="1">
      <alignment horizontal="center" vertical="center" wrapText="1"/>
    </xf>
    <xf numFmtId="205" fontId="14" fillId="0" borderId="96" xfId="15" applyNumberFormat="1" applyBorder="1">
      <alignment vertical="center"/>
    </xf>
    <xf numFmtId="0" fontId="14" fillId="0" borderId="4" xfId="15" applyBorder="1">
      <alignment vertical="center"/>
    </xf>
    <xf numFmtId="204" fontId="14" fillId="0" borderId="4" xfId="15" applyNumberFormat="1" applyBorder="1" applyAlignment="1">
      <alignment horizontal="center" vertical="center"/>
    </xf>
    <xf numFmtId="0" fontId="67" fillId="0" borderId="4" xfId="15" applyFont="1" applyBorder="1" applyAlignment="1">
      <alignment horizontal="center" vertical="center"/>
    </xf>
    <xf numFmtId="0" fontId="14" fillId="0" borderId="4" xfId="15" applyBorder="1" applyAlignment="1">
      <alignment horizontal="center" vertical="center"/>
    </xf>
    <xf numFmtId="0" fontId="67" fillId="0" borderId="48" xfId="15" applyFont="1" applyBorder="1" applyAlignment="1">
      <alignment horizontal="center" vertical="center" wrapText="1"/>
    </xf>
    <xf numFmtId="204" fontId="67" fillId="0" borderId="1" xfId="15" applyNumberFormat="1" applyFont="1" applyBorder="1" applyAlignment="1">
      <alignment horizontal="center" vertical="center"/>
    </xf>
    <xf numFmtId="205" fontId="67" fillId="0" borderId="98" xfId="15" applyNumberFormat="1" applyFont="1" applyBorder="1">
      <alignment vertical="center"/>
    </xf>
    <xf numFmtId="0" fontId="67" fillId="0" borderId="1" xfId="15" applyFont="1" applyBorder="1">
      <alignment vertical="center"/>
    </xf>
    <xf numFmtId="0" fontId="67" fillId="0" borderId="0" xfId="15" applyFont="1">
      <alignment vertical="center"/>
    </xf>
    <xf numFmtId="205" fontId="67" fillId="0" borderId="98" xfId="15" applyNumberFormat="1" applyFont="1" applyBorder="1" applyAlignment="1">
      <alignment vertical="center" shrinkToFit="1"/>
    </xf>
    <xf numFmtId="0" fontId="67" fillId="0" borderId="1" xfId="15" applyFont="1" applyBorder="1" applyAlignment="1">
      <alignment horizontal="left" vertical="center"/>
    </xf>
    <xf numFmtId="0" fontId="68" fillId="0" borderId="1" xfId="15" applyFont="1" applyBorder="1" applyAlignment="1">
      <alignment horizontal="center" vertical="center"/>
    </xf>
    <xf numFmtId="0" fontId="53" fillId="0" borderId="0" xfId="15" applyFont="1">
      <alignment vertical="center"/>
    </xf>
    <xf numFmtId="0" fontId="11" fillId="0" borderId="0" xfId="0" applyFont="1" applyAlignment="1">
      <alignment horizontal="right" vertical="center"/>
    </xf>
    <xf numFmtId="38" fontId="11" fillId="0" borderId="0" xfId="2" applyFont="1" applyBorder="1" applyAlignment="1">
      <alignment horizontal="right" vertical="center"/>
    </xf>
    <xf numFmtId="0" fontId="16" fillId="0" borderId="47" xfId="3" applyBorder="1">
      <alignment vertical="center"/>
    </xf>
    <xf numFmtId="0" fontId="0" fillId="0" borderId="47" xfId="0" applyBorder="1">
      <alignment vertical="center"/>
    </xf>
    <xf numFmtId="0" fontId="16" fillId="0" borderId="109" xfId="3" applyBorder="1">
      <alignment vertical="center"/>
    </xf>
    <xf numFmtId="0" fontId="16" fillId="0" borderId="110" xfId="3" applyBorder="1">
      <alignment vertical="center"/>
    </xf>
    <xf numFmtId="49" fontId="47" fillId="0" borderId="85" xfId="0" applyNumberFormat="1" applyFont="1" applyBorder="1" applyAlignment="1">
      <alignment vertical="center" shrinkToFit="1"/>
    </xf>
    <xf numFmtId="2" fontId="16" fillId="0" borderId="1" xfId="7" applyNumberFormat="1" applyBorder="1" applyAlignment="1">
      <alignment vertical="center" wrapText="1"/>
    </xf>
    <xf numFmtId="2" fontId="16" fillId="0" borderId="1" xfId="7" applyNumberFormat="1" applyBorder="1">
      <alignment vertical="center"/>
    </xf>
    <xf numFmtId="177" fontId="16" fillId="0" borderId="1" xfId="3" applyNumberFormat="1" applyBorder="1">
      <alignment vertical="center"/>
    </xf>
    <xf numFmtId="0" fontId="0" fillId="0" borderId="3" xfId="0" applyBorder="1" applyAlignment="1" applyProtection="1">
      <alignment horizontal="center" vertical="center"/>
      <protection locked="0"/>
    </xf>
    <xf numFmtId="181" fontId="69" fillId="0" borderId="3" xfId="0" applyNumberFormat="1" applyFont="1" applyBorder="1" applyAlignment="1" applyProtection="1">
      <alignment horizontal="right" vertical="center" indent="1"/>
      <protection locked="0"/>
    </xf>
    <xf numFmtId="181" fontId="69" fillId="0" borderId="94" xfId="0" applyNumberFormat="1" applyFont="1" applyBorder="1" applyAlignment="1" applyProtection="1">
      <alignment horizontal="right" vertical="center" indent="1"/>
      <protection locked="0"/>
    </xf>
    <xf numFmtId="181" fontId="69" fillId="0" borderId="95" xfId="0" applyNumberFormat="1" applyFont="1" applyBorder="1" applyAlignment="1" applyProtection="1">
      <alignment horizontal="right" vertical="center" indent="1"/>
      <protection locked="0"/>
    </xf>
    <xf numFmtId="181" fontId="69" fillId="0" borderId="7" xfId="0" applyNumberFormat="1" applyFont="1" applyBorder="1" applyAlignment="1" applyProtection="1">
      <alignment horizontal="right" vertical="center" indent="1"/>
      <protection locked="0"/>
    </xf>
    <xf numFmtId="0" fontId="16" fillId="0" borderId="93"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4" fillId="0" borderId="5" xfId="0" applyFont="1" applyBorder="1" applyProtection="1">
      <alignment vertical="center"/>
      <protection locked="0"/>
    </xf>
    <xf numFmtId="203" fontId="69" fillId="0" borderId="1" xfId="0" applyNumberFormat="1" applyFont="1" applyBorder="1" applyAlignment="1" applyProtection="1">
      <alignment horizontal="right" vertical="center" indent="1"/>
      <protection locked="0"/>
    </xf>
    <xf numFmtId="202" fontId="69" fillId="0" borderId="1" xfId="0" applyNumberFormat="1" applyFont="1" applyBorder="1" applyAlignment="1" applyProtection="1">
      <alignment horizontal="right" vertical="center" indent="1"/>
      <protection locked="0"/>
    </xf>
    <xf numFmtId="0" fontId="16" fillId="0" borderId="2" xfId="0" applyFont="1" applyBorder="1" applyAlignment="1" applyProtection="1">
      <alignment horizontal="center" vertical="center"/>
      <protection locked="0"/>
    </xf>
    <xf numFmtId="0" fontId="4" fillId="0" borderId="1" xfId="0" applyFont="1" applyBorder="1" applyProtection="1">
      <alignment vertical="center"/>
      <protection locked="0"/>
    </xf>
    <xf numFmtId="202" fontId="69" fillId="0" borderId="3" xfId="0" applyNumberFormat="1" applyFont="1" applyBorder="1" applyAlignment="1" applyProtection="1">
      <alignment horizontal="right" vertical="center" indent="1"/>
      <protection locked="0"/>
    </xf>
    <xf numFmtId="203" fontId="69" fillId="0" borderId="3" xfId="0" applyNumberFormat="1" applyFont="1" applyBorder="1" applyAlignment="1" applyProtection="1">
      <alignment horizontal="right" vertical="center" indent="1"/>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3" applyFont="1" applyBorder="1" applyAlignment="1">
      <alignment horizontal="center" vertical="center"/>
    </xf>
    <xf numFmtId="49" fontId="4" fillId="0" borderId="1" xfId="1" applyNumberFormat="1" applyFont="1" applyBorder="1" applyAlignment="1">
      <alignment vertical="center" wrapText="1"/>
    </xf>
    <xf numFmtId="194" fontId="19" fillId="5" borderId="1" xfId="2" applyNumberFormat="1" applyFont="1" applyFill="1" applyBorder="1" applyAlignment="1">
      <alignment vertical="center" wrapText="1"/>
    </xf>
    <xf numFmtId="9" fontId="19" fillId="5" borderId="1" xfId="6" applyFont="1" applyFill="1" applyBorder="1" applyAlignment="1">
      <alignment vertical="center" wrapText="1"/>
    </xf>
    <xf numFmtId="38" fontId="4" fillId="4" borderId="1" xfId="2" applyFont="1" applyFill="1" applyBorder="1">
      <alignment vertical="center"/>
    </xf>
    <xf numFmtId="193" fontId="4" fillId="0" borderId="1" xfId="3" applyNumberFormat="1" applyFont="1" applyBorder="1">
      <alignment vertical="center"/>
    </xf>
    <xf numFmtId="193" fontId="4" fillId="0" borderId="4" xfId="3" applyNumberFormat="1" applyFont="1" applyBorder="1">
      <alignment vertical="center"/>
    </xf>
    <xf numFmtId="49" fontId="4" fillId="0" borderId="77" xfId="1" applyNumberFormat="1" applyFont="1" applyBorder="1" applyAlignment="1">
      <alignment vertical="center" wrapText="1"/>
    </xf>
    <xf numFmtId="38" fontId="4" fillId="0" borderId="77" xfId="2" applyFont="1" applyBorder="1" applyAlignment="1">
      <alignment vertical="center" wrapText="1"/>
    </xf>
    <xf numFmtId="38" fontId="4" fillId="0" borderId="8" xfId="2" applyFont="1" applyBorder="1" applyAlignment="1">
      <alignment horizontal="right" vertical="center" wrapText="1"/>
    </xf>
    <xf numFmtId="195" fontId="4" fillId="0" borderId="12" xfId="1" applyNumberFormat="1" applyFont="1" applyBorder="1" applyAlignment="1">
      <alignment vertical="center" wrapText="1"/>
    </xf>
    <xf numFmtId="193" fontId="4" fillId="0" borderId="3" xfId="3" applyNumberFormat="1" applyFont="1" applyBorder="1">
      <alignment vertical="center"/>
    </xf>
    <xf numFmtId="194" fontId="19" fillId="5" borderId="4" xfId="2" applyNumberFormat="1" applyFont="1" applyFill="1" applyBorder="1" applyAlignment="1">
      <alignment vertical="center" wrapText="1"/>
    </xf>
    <xf numFmtId="9" fontId="19" fillId="5" borderId="4" xfId="6" applyFont="1" applyFill="1" applyBorder="1" applyAlignment="1">
      <alignment vertical="center" wrapText="1"/>
    </xf>
    <xf numFmtId="38" fontId="4" fillId="4" borderId="4" xfId="2" applyFont="1" applyFill="1" applyBorder="1">
      <alignment vertical="center"/>
    </xf>
    <xf numFmtId="49" fontId="4" fillId="0" borderId="5" xfId="1" applyNumberFormat="1" applyFont="1" applyBorder="1" applyAlignment="1">
      <alignment horizontal="right" vertical="center" wrapText="1"/>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38" fontId="4" fillId="4" borderId="1" xfId="2" applyFont="1" applyFill="1" applyBorder="1" applyAlignment="1">
      <alignment horizontal="right" vertical="center"/>
    </xf>
    <xf numFmtId="195" fontId="4" fillId="0" borderId="1" xfId="3" applyNumberFormat="1" applyFont="1" applyBorder="1">
      <alignment vertical="center"/>
    </xf>
    <xf numFmtId="0" fontId="4" fillId="0" borderId="77" xfId="3" applyFont="1" applyBorder="1" applyAlignment="1">
      <alignment horizontal="right" vertical="center"/>
    </xf>
    <xf numFmtId="38" fontId="4" fillId="4" borderId="3" xfId="2" applyFont="1" applyFill="1" applyBorder="1" applyAlignment="1">
      <alignment horizontal="right" vertical="center"/>
    </xf>
    <xf numFmtId="0" fontId="4" fillId="0" borderId="7" xfId="3" applyFont="1" applyBorder="1">
      <alignment vertical="center"/>
    </xf>
    <xf numFmtId="0" fontId="16" fillId="0" borderId="7" xfId="3" applyBorder="1">
      <alignment vertical="center"/>
    </xf>
    <xf numFmtId="38" fontId="16" fillId="4" borderId="7" xfId="2" applyFont="1" applyFill="1" applyBorder="1" applyAlignment="1">
      <alignment horizontal="right" vertical="center"/>
    </xf>
    <xf numFmtId="38" fontId="16" fillId="4" borderId="1" xfId="2" applyFont="1" applyFill="1" applyBorder="1" applyAlignment="1">
      <alignment horizontal="right" vertical="center"/>
    </xf>
    <xf numFmtId="195" fontId="16" fillId="0" borderId="4" xfId="3" applyNumberFormat="1" applyBorder="1">
      <alignment vertical="center"/>
    </xf>
    <xf numFmtId="38" fontId="16" fillId="4" borderId="5" xfId="2" applyFont="1" applyFill="1" applyBorder="1" applyAlignment="1">
      <alignment horizontal="right" vertical="center"/>
    </xf>
    <xf numFmtId="38" fontId="4" fillId="0" borderId="1" xfId="2" applyFont="1" applyFill="1" applyBorder="1" applyAlignment="1">
      <alignment horizontal="right" vertical="center"/>
    </xf>
    <xf numFmtId="9" fontId="19" fillId="5" borderId="3" xfId="6" applyFont="1" applyFill="1" applyBorder="1" applyAlignment="1">
      <alignment vertical="center" wrapText="1"/>
    </xf>
    <xf numFmtId="38" fontId="4" fillId="4" borderId="3" xfId="2" applyFont="1" applyFill="1" applyBorder="1">
      <alignment vertical="center"/>
    </xf>
    <xf numFmtId="178" fontId="9" fillId="0" borderId="3" xfId="0" applyNumberFormat="1" applyFont="1" applyBorder="1" applyAlignment="1">
      <alignment horizontal="right" vertical="center" indent="1"/>
    </xf>
    <xf numFmtId="0" fontId="70" fillId="0" borderId="0" xfId="0" applyFont="1">
      <alignment vertical="center"/>
    </xf>
    <xf numFmtId="0" fontId="71" fillId="0" borderId="0" xfId="3" applyFont="1">
      <alignment vertical="center"/>
    </xf>
    <xf numFmtId="49" fontId="72" fillId="0" borderId="1" xfId="0" applyNumberFormat="1" applyFont="1" applyBorder="1">
      <alignment vertical="center"/>
    </xf>
    <xf numFmtId="186" fontId="16" fillId="0" borderId="1" xfId="3" applyNumberFormat="1" applyBorder="1">
      <alignment vertical="center"/>
    </xf>
    <xf numFmtId="0" fontId="41" fillId="0" borderId="1" xfId="3" applyFont="1" applyBorder="1" applyAlignment="1">
      <alignment horizontal="left" vertical="center" wrapText="1"/>
    </xf>
    <xf numFmtId="0" fontId="17" fillId="0" borderId="1" xfId="3" applyFont="1" applyBorder="1" applyAlignment="1">
      <alignment horizontal="center" vertical="center"/>
    </xf>
    <xf numFmtId="0" fontId="14" fillId="0" borderId="0" xfId="15" applyAlignment="1">
      <alignment horizontal="right" vertical="center"/>
    </xf>
    <xf numFmtId="0" fontId="4" fillId="0" borderId="1" xfId="3" applyFont="1" applyBorder="1" applyAlignment="1">
      <alignment horizontal="center" vertical="center" shrinkToFit="1"/>
    </xf>
    <xf numFmtId="0" fontId="4" fillId="0" borderId="1" xfId="1" applyFont="1" applyBorder="1" applyAlignment="1">
      <alignment horizontal="left" vertical="center" shrinkToFit="1"/>
    </xf>
    <xf numFmtId="49" fontId="4" fillId="0" borderId="1"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7" xfId="1" applyFont="1" applyBorder="1" applyAlignment="1">
      <alignment horizontal="center" vertical="center" shrinkToFit="1"/>
    </xf>
    <xf numFmtId="49" fontId="4" fillId="0" borderId="77" xfId="1" applyNumberFormat="1" applyFont="1" applyBorder="1" applyAlignment="1">
      <alignment vertical="center" shrinkToFit="1"/>
    </xf>
    <xf numFmtId="0" fontId="4" fillId="0" borderId="3" xfId="3" applyFont="1" applyBorder="1" applyAlignment="1">
      <alignment horizontal="center" vertical="center" shrinkToFit="1"/>
    </xf>
    <xf numFmtId="0" fontId="4" fillId="0" borderId="4" xfId="3" applyFont="1" applyBorder="1" applyAlignment="1">
      <alignment horizontal="center" vertical="center" shrinkToFit="1"/>
    </xf>
    <xf numFmtId="0" fontId="4" fillId="0" borderId="4" xfId="1" applyFont="1" applyBorder="1" applyAlignment="1">
      <alignment horizontal="left" vertical="center" shrinkToFit="1"/>
    </xf>
    <xf numFmtId="49" fontId="4" fillId="0" borderId="4" xfId="1" applyNumberFormat="1" applyFont="1" applyBorder="1" applyAlignment="1">
      <alignment vertical="center" shrinkToFit="1"/>
    </xf>
    <xf numFmtId="0" fontId="16" fillId="0" borderId="0" xfId="3" applyAlignment="1">
      <alignment horizontal="center" vertical="center" shrinkToFit="1"/>
    </xf>
    <xf numFmtId="0" fontId="16"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1" xfId="0" applyBorder="1" applyAlignment="1">
      <alignment horizontal="center" vertical="center" shrinkToFit="1"/>
    </xf>
    <xf numFmtId="0" fontId="0" fillId="0" borderId="5" xfId="3" applyFont="1" applyBorder="1" applyAlignment="1">
      <alignment vertical="center" shrinkToFit="1"/>
    </xf>
    <xf numFmtId="0" fontId="16" fillId="0" borderId="5" xfId="3" applyBorder="1" applyAlignment="1">
      <alignment vertical="center" shrinkToFit="1"/>
    </xf>
    <xf numFmtId="0" fontId="0" fillId="0" borderId="73" xfId="0" applyBorder="1" applyAlignment="1">
      <alignment vertical="center" shrinkToFit="1"/>
    </xf>
    <xf numFmtId="0" fontId="0" fillId="0" borderId="86" xfId="0" applyBorder="1" applyAlignment="1">
      <alignment horizontal="center" vertical="center" shrinkToFit="1"/>
    </xf>
    <xf numFmtId="0" fontId="0" fillId="0" borderId="77" xfId="1" applyFont="1" applyBorder="1" applyAlignment="1">
      <alignment horizontal="center" vertical="center" shrinkToFit="1"/>
    </xf>
    <xf numFmtId="0" fontId="16" fillId="0" borderId="8" xfId="3" applyBorder="1" applyAlignment="1">
      <alignment vertical="center" shrinkToFit="1"/>
    </xf>
    <xf numFmtId="0" fontId="0" fillId="0" borderId="73" xfId="3" applyFont="1" applyBorder="1" applyAlignment="1">
      <alignment vertical="center" shrinkToFit="1"/>
    </xf>
    <xf numFmtId="0" fontId="16" fillId="0" borderId="73" xfId="3" applyBorder="1" applyAlignment="1">
      <alignment vertical="center" shrinkToFit="1"/>
    </xf>
    <xf numFmtId="0" fontId="0" fillId="0" borderId="1" xfId="1" applyFont="1" applyBorder="1" applyAlignment="1">
      <alignment horizontal="center" vertical="center" shrinkToFit="1"/>
    </xf>
    <xf numFmtId="0" fontId="14" fillId="0" borderId="1" xfId="1" applyBorder="1" applyAlignment="1">
      <alignment horizontal="left" vertical="center" shrinkToFit="1"/>
    </xf>
    <xf numFmtId="0" fontId="4" fillId="0" borderId="5" xfId="3" applyFont="1" applyBorder="1" applyAlignment="1">
      <alignment vertical="center" shrinkToFit="1"/>
    </xf>
    <xf numFmtId="49" fontId="14" fillId="0" borderId="1" xfId="1" applyNumberFormat="1" applyBorder="1" applyAlignment="1">
      <alignment vertical="center" shrinkToFit="1"/>
    </xf>
    <xf numFmtId="49" fontId="14" fillId="0" borderId="77" xfId="1" applyNumberFormat="1" applyBorder="1" applyAlignment="1">
      <alignment vertical="center" shrinkToFit="1"/>
    </xf>
    <xf numFmtId="0" fontId="16" fillId="0" borderId="1" xfId="3" applyBorder="1" applyAlignment="1">
      <alignment horizontal="center" vertical="center" shrinkToFit="1"/>
    </xf>
    <xf numFmtId="0" fontId="16" fillId="0" borderId="1" xfId="3" applyBorder="1" applyAlignment="1">
      <alignment vertical="center" shrinkToFit="1"/>
    </xf>
    <xf numFmtId="0" fontId="16" fillId="0" borderId="77" xfId="3" applyBorder="1" applyAlignment="1">
      <alignment horizontal="center" vertical="center" shrinkToFit="1"/>
    </xf>
    <xf numFmtId="0" fontId="16" fillId="0" borderId="77" xfId="3" applyBorder="1" applyAlignment="1">
      <alignment vertical="center" shrinkToFit="1"/>
    </xf>
    <xf numFmtId="0" fontId="16" fillId="0" borderId="7" xfId="3" applyBorder="1" applyAlignment="1">
      <alignment horizontal="center" vertical="center" shrinkToFit="1"/>
    </xf>
    <xf numFmtId="0" fontId="16" fillId="0" borderId="7" xfId="3" applyBorder="1" applyAlignment="1">
      <alignment horizontal="left" vertical="center" shrinkToFit="1"/>
    </xf>
    <xf numFmtId="0" fontId="16" fillId="0" borderId="7" xfId="3" applyBorder="1" applyAlignment="1">
      <alignment vertical="center" shrinkToFit="1"/>
    </xf>
    <xf numFmtId="0" fontId="16" fillId="0" borderId="1" xfId="3" applyBorder="1" applyAlignment="1">
      <alignment horizontal="left" vertical="center" shrinkToFit="1"/>
    </xf>
    <xf numFmtId="0" fontId="16" fillId="0" borderId="3" xfId="0" applyFont="1" applyBorder="1" applyAlignment="1">
      <alignment vertical="center" shrinkToFit="1"/>
    </xf>
    <xf numFmtId="0" fontId="4" fillId="0" borderId="1" xfId="3" applyFont="1" applyBorder="1" applyAlignment="1">
      <alignment vertical="center" shrinkToFit="1"/>
    </xf>
    <xf numFmtId="0" fontId="4" fillId="0" borderId="5" xfId="1" applyFont="1" applyBorder="1" applyAlignment="1">
      <alignment horizontal="left" vertical="center" shrinkToFit="1"/>
    </xf>
    <xf numFmtId="188" fontId="7" fillId="0" borderId="12" xfId="0" applyNumberFormat="1" applyFont="1" applyBorder="1">
      <alignment vertical="center"/>
    </xf>
    <xf numFmtId="0" fontId="45" fillId="0" borderId="0" xfId="9">
      <alignment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16" fillId="0" borderId="5" xfId="3" applyBorder="1">
      <alignment vertical="center"/>
    </xf>
    <xf numFmtId="0" fontId="16" fillId="0" borderId="6" xfId="3" applyBorder="1">
      <alignment vertical="center"/>
    </xf>
    <xf numFmtId="0" fontId="16" fillId="0" borderId="2" xfId="3" applyBorder="1">
      <alignment vertical="center"/>
    </xf>
    <xf numFmtId="0" fontId="16" fillId="0" borderId="106" xfId="3" applyBorder="1">
      <alignment vertical="center"/>
    </xf>
    <xf numFmtId="0" fontId="16" fillId="0" borderId="107" xfId="3" applyBorder="1">
      <alignment vertical="center"/>
    </xf>
    <xf numFmtId="0" fontId="16" fillId="0" borderId="108" xfId="3" applyBorder="1">
      <alignment vertical="center"/>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0" fillId="0" borderId="9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wrapText="1"/>
    </xf>
    <xf numFmtId="0" fontId="0" fillId="0" borderId="3" xfId="0" applyBorder="1">
      <alignment vertical="center"/>
    </xf>
    <xf numFmtId="0" fontId="16"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6" fillId="0" borderId="3" xfId="3" applyBorder="1" applyAlignment="1">
      <alignment horizontal="center" vertical="center" shrinkToFit="1"/>
    </xf>
    <xf numFmtId="0" fontId="0" fillId="0" borderId="5" xfId="3" applyFont="1" applyBorder="1" applyAlignment="1">
      <alignment horizontal="center" vertical="center"/>
    </xf>
    <xf numFmtId="0" fontId="16" fillId="0" borderId="2" xfId="3" applyBorder="1" applyAlignment="1">
      <alignment horizontal="center" vertical="center"/>
    </xf>
    <xf numFmtId="0" fontId="16" fillId="0" borderId="5" xfId="3" applyBorder="1" applyAlignment="1">
      <alignment horizontal="center" vertical="center"/>
    </xf>
    <xf numFmtId="0" fontId="0" fillId="0" borderId="2" xfId="0" applyBorder="1" applyAlignment="1">
      <alignment horizontal="center" vertical="center"/>
    </xf>
    <xf numFmtId="0" fontId="4" fillId="0" borderId="8" xfId="3" applyFont="1" applyBorder="1">
      <alignment vertical="center"/>
    </xf>
    <xf numFmtId="0" fontId="4" fillId="0" borderId="18" xfId="3" applyFont="1" applyBorder="1">
      <alignment vertical="center"/>
    </xf>
    <xf numFmtId="0" fontId="4" fillId="0" borderId="9" xfId="3" applyFont="1" applyBorder="1">
      <alignment vertical="center"/>
    </xf>
    <xf numFmtId="0" fontId="16" fillId="0" borderId="1" xfId="3" applyBorder="1">
      <alignment vertical="center"/>
    </xf>
    <xf numFmtId="0" fontId="14" fillId="0" borderId="0" xfId="10" applyAlignment="1">
      <alignment horizontal="center" vertical="center" wrapText="1"/>
    </xf>
    <xf numFmtId="0" fontId="4" fillId="0" borderId="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86" xfId="0" applyFont="1" applyBorder="1" applyAlignment="1">
      <alignment horizontal="center" vertical="center" textRotation="255"/>
    </xf>
    <xf numFmtId="0" fontId="4" fillId="0" borderId="92" xfId="0" applyFont="1" applyBorder="1" applyAlignment="1">
      <alignment horizontal="center" vertical="center" textRotation="255"/>
    </xf>
    <xf numFmtId="0" fontId="4" fillId="0" borderId="3" xfId="0" applyFont="1" applyBorder="1" applyAlignment="1">
      <alignment horizontal="center" vertical="center" textRotation="255"/>
    </xf>
    <xf numFmtId="0" fontId="16" fillId="0" borderId="8" xfId="3" applyBorder="1">
      <alignment vertical="center"/>
    </xf>
    <xf numFmtId="0" fontId="16" fillId="0" borderId="18" xfId="3" applyBorder="1">
      <alignment vertical="center"/>
    </xf>
    <xf numFmtId="0" fontId="16" fillId="0" borderId="9" xfId="3" applyBorder="1">
      <alignment vertical="center"/>
    </xf>
    <xf numFmtId="0" fontId="4" fillId="0" borderId="5" xfId="3" applyFont="1" applyBorder="1" applyAlignment="1">
      <alignment horizontal="center" vertical="center"/>
    </xf>
    <xf numFmtId="0" fontId="4" fillId="0" borderId="2" xfId="0" applyFont="1" applyBorder="1" applyAlignment="1">
      <alignment horizontal="center"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16" fillId="0" borderId="19" xfId="3" applyBorder="1" applyAlignment="1">
      <alignment horizontal="center" vertical="center" shrinkToFit="1"/>
    </xf>
    <xf numFmtId="0" fontId="16" fillId="0" borderId="73" xfId="3" applyBorder="1" applyAlignment="1">
      <alignment horizontal="center" vertical="center" shrinkToFit="1"/>
    </xf>
    <xf numFmtId="0" fontId="0" fillId="0" borderId="1" xfId="3"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1" xfId="0" applyBorder="1" applyAlignment="1" applyProtection="1">
      <alignment horizontal="left" vertical="center"/>
      <protection locked="0"/>
    </xf>
    <xf numFmtId="0" fontId="0" fillId="0" borderId="20" xfId="0" applyBorder="1" applyAlignment="1">
      <alignment horizontal="left" vertical="center" wrapText="1"/>
    </xf>
    <xf numFmtId="0" fontId="0" fillId="0" borderId="5" xfId="0" applyBorder="1" applyAlignment="1">
      <alignment horizontal="center" vertical="center"/>
    </xf>
    <xf numFmtId="180" fontId="9" fillId="0" borderId="1" xfId="0" applyNumberFormat="1" applyFont="1" applyBorder="1" applyAlignment="1" applyProtection="1">
      <alignment horizontal="center" vertical="center"/>
      <protection locked="0"/>
    </xf>
    <xf numFmtId="0" fontId="5" fillId="0" borderId="1" xfId="0" applyFont="1" applyBorder="1">
      <alignment vertical="center"/>
    </xf>
    <xf numFmtId="0" fontId="6" fillId="0" borderId="1" xfId="0" applyFont="1" applyBorder="1" applyAlignment="1">
      <alignment horizontal="center" vertical="center" wrapText="1"/>
    </xf>
    <xf numFmtId="0" fontId="4" fillId="0" borderId="3" xfId="0" applyFont="1" applyBorder="1">
      <alignment vertical="center"/>
    </xf>
    <xf numFmtId="0" fontId="4" fillId="0" borderId="3" xfId="0" applyFont="1" applyBorder="1" applyAlignment="1">
      <alignment horizontal="center" vertical="center"/>
    </xf>
    <xf numFmtId="0" fontId="36" fillId="0" borderId="1" xfId="0" applyFont="1" applyBorder="1" applyAlignment="1">
      <alignment horizontal="center" vertical="center" wrapText="1" readingOrder="1"/>
    </xf>
    <xf numFmtId="0" fontId="36" fillId="0" borderId="1" xfId="0" applyFont="1" applyBorder="1" applyAlignment="1">
      <alignment horizontal="left" vertical="center" wrapText="1" readingOrder="1"/>
    </xf>
    <xf numFmtId="0" fontId="38" fillId="0" borderId="1" xfId="0" applyFont="1" applyBorder="1" applyAlignment="1">
      <alignment horizontal="left" vertical="center" wrapText="1"/>
    </xf>
    <xf numFmtId="0" fontId="6" fillId="0" borderId="0" xfId="0" applyFont="1" applyAlignment="1">
      <alignment horizontal="left" vertical="center" wrapText="1"/>
    </xf>
    <xf numFmtId="0" fontId="33" fillId="0" borderId="5" xfId="0" applyFont="1" applyBorder="1">
      <alignment vertical="center"/>
    </xf>
    <xf numFmtId="0" fontId="6" fillId="0" borderId="2" xfId="0" applyFont="1" applyBorder="1">
      <alignment vertical="center"/>
    </xf>
    <xf numFmtId="0" fontId="34" fillId="0" borderId="5" xfId="0" applyFont="1" applyBorder="1">
      <alignment vertical="center"/>
    </xf>
    <xf numFmtId="208" fontId="9" fillId="0" borderId="1" xfId="0" applyNumberFormat="1" applyFont="1" applyBorder="1" applyAlignment="1">
      <alignment horizontal="center" vertical="center"/>
    </xf>
    <xf numFmtId="209" fontId="27" fillId="0" borderId="1" xfId="0" applyNumberFormat="1" applyFont="1" applyBorder="1" applyAlignment="1">
      <alignment horizontal="center" vertical="center"/>
    </xf>
    <xf numFmtId="0" fontId="0" fillId="0" borderId="0" xfId="0" applyAlignment="1">
      <alignment horizontal="center" vertical="center"/>
    </xf>
    <xf numFmtId="0" fontId="33" fillId="0" borderId="5" xfId="0" applyFont="1" applyBorder="1" applyAlignment="1">
      <alignment horizontal="left" vertical="center" wrapText="1"/>
    </xf>
    <xf numFmtId="0" fontId="6" fillId="0" borderId="2" xfId="0" applyFont="1" applyBorder="1" applyAlignment="1">
      <alignment horizontal="left" vertical="center"/>
    </xf>
    <xf numFmtId="206" fontId="9" fillId="0" borderId="1" xfId="0" applyNumberFormat="1" applyFont="1" applyBorder="1" applyAlignment="1" applyProtection="1">
      <alignment horizontal="center" vertical="center"/>
      <protection locked="0"/>
    </xf>
    <xf numFmtId="207" fontId="64" fillId="0" borderId="1" xfId="0" applyNumberFormat="1" applyFont="1" applyBorder="1" applyAlignment="1">
      <alignment horizontal="center" vertical="center"/>
    </xf>
    <xf numFmtId="181" fontId="12" fillId="0" borderId="1" xfId="0" applyNumberFormat="1" applyFont="1" applyBorder="1" applyAlignment="1">
      <alignment horizontal="right" vertical="center" indent="1"/>
    </xf>
    <xf numFmtId="0" fontId="0" fillId="0" borderId="1" xfId="0" applyBorder="1" applyAlignment="1">
      <alignment horizontal="right" vertical="center" indent="1"/>
    </xf>
    <xf numFmtId="0" fontId="5" fillId="0" borderId="8"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181" fontId="12" fillId="0" borderId="92" xfId="0" applyNumberFormat="1" applyFont="1" applyBorder="1" applyAlignment="1">
      <alignment horizontal="right" vertical="center" indent="1"/>
    </xf>
    <xf numFmtId="0" fontId="0" fillId="0" borderId="92" xfId="0" applyBorder="1" applyAlignment="1">
      <alignment horizontal="right" vertical="center" indent="1"/>
    </xf>
    <xf numFmtId="0" fontId="16" fillId="0" borderId="5" xfId="3" applyBorder="1" applyAlignment="1">
      <alignment horizontal="left" vertical="center"/>
    </xf>
    <xf numFmtId="0" fontId="16" fillId="0" borderId="2" xfId="3" applyBorder="1" applyAlignment="1">
      <alignment horizontal="left" vertical="center"/>
    </xf>
    <xf numFmtId="0" fontId="16" fillId="0" borderId="1" xfId="3" applyBorder="1" applyAlignment="1">
      <alignment horizontal="center" vertical="center"/>
    </xf>
    <xf numFmtId="0" fontId="16"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8" fillId="0" borderId="102" xfId="15" applyFont="1" applyBorder="1" applyAlignment="1">
      <alignment horizontal="center" vertical="center"/>
    </xf>
    <xf numFmtId="0" fontId="68" fillId="0" borderId="3" xfId="15" applyFont="1" applyBorder="1" applyAlignment="1">
      <alignment horizontal="center" vertical="center"/>
    </xf>
    <xf numFmtId="0" fontId="68" fillId="0" borderId="101" xfId="15" applyFont="1" applyBorder="1" applyAlignment="1">
      <alignment horizontal="center" vertical="center" shrinkToFit="1"/>
    </xf>
    <xf numFmtId="0" fontId="68" fillId="0" borderId="99" xfId="15" applyFont="1" applyBorder="1" applyAlignment="1">
      <alignment horizontal="center" vertical="center" shrinkToFit="1"/>
    </xf>
    <xf numFmtId="0" fontId="68" fillId="0" borderId="105" xfId="15" applyFont="1" applyBorder="1" applyAlignment="1">
      <alignment horizontal="center" vertical="center" wrapText="1"/>
    </xf>
    <xf numFmtId="0" fontId="68" fillId="0" borderId="49" xfId="15" applyFont="1" applyBorder="1" applyAlignment="1">
      <alignment horizontal="center" vertical="center" wrapText="1"/>
    </xf>
    <xf numFmtId="0" fontId="68" fillId="0" borderId="103" xfId="15" applyFont="1" applyBorder="1" applyAlignment="1">
      <alignment horizontal="center" vertical="center"/>
    </xf>
    <xf numFmtId="0" fontId="68" fillId="0" borderId="71" xfId="15" applyFont="1" applyBorder="1" applyAlignment="1">
      <alignment horizontal="center" vertical="center"/>
    </xf>
    <xf numFmtId="0" fontId="68" fillId="0" borderId="104" xfId="15" applyFont="1" applyBorder="1" applyAlignment="1">
      <alignment horizontal="center" vertical="center"/>
    </xf>
    <xf numFmtId="0" fontId="68" fillId="0" borderId="73" xfId="15" applyFont="1" applyBorder="1" applyAlignment="1">
      <alignment horizontal="center" vertical="center"/>
    </xf>
    <xf numFmtId="0" fontId="68" fillId="0" borderId="21" xfId="15" applyFont="1" applyBorder="1" applyAlignment="1">
      <alignment horizontal="center" vertical="center"/>
    </xf>
    <xf numFmtId="0" fontId="26" fillId="2" borderId="1" xfId="10" applyFont="1" applyFill="1" applyBorder="1" applyAlignment="1">
      <alignment horizontal="center" vertical="center" wrapText="1"/>
    </xf>
    <xf numFmtId="0" fontId="26" fillId="2" borderId="77" xfId="10" applyFont="1" applyFill="1" applyBorder="1" applyAlignment="1">
      <alignment horizontal="center" vertical="center" wrapText="1"/>
    </xf>
    <xf numFmtId="0" fontId="14" fillId="2" borderId="81" xfId="10" applyFill="1" applyBorder="1">
      <alignment vertical="center"/>
    </xf>
    <xf numFmtId="0" fontId="14" fillId="2" borderId="80" xfId="10" applyFill="1" applyBorder="1">
      <alignment vertical="center"/>
    </xf>
    <xf numFmtId="0" fontId="14" fillId="2" borderId="79" xfId="10" applyFill="1" applyBorder="1">
      <alignment vertical="center"/>
    </xf>
    <xf numFmtId="0" fontId="14" fillId="2" borderId="47" xfId="10" applyFill="1" applyBorder="1" applyAlignment="1">
      <alignment horizontal="center" vertical="center" wrapText="1"/>
    </xf>
    <xf numFmtId="0" fontId="14" fillId="2" borderId="42" xfId="10" applyFill="1" applyBorder="1" applyAlignment="1">
      <alignment horizontal="center" vertical="center" wrapText="1"/>
    </xf>
    <xf numFmtId="0" fontId="14" fillId="2" borderId="67" xfId="10" applyFill="1" applyBorder="1" applyAlignment="1">
      <alignment horizontal="center" vertical="center" wrapText="1"/>
    </xf>
    <xf numFmtId="0" fontId="14" fillId="2" borderId="0" xfId="10" applyFill="1" applyAlignment="1">
      <alignment horizontal="center" vertical="center" wrapText="1"/>
    </xf>
    <xf numFmtId="0" fontId="14" fillId="2" borderId="69" xfId="10" applyFill="1" applyBorder="1" applyAlignment="1">
      <alignment horizontal="center" vertical="center" wrapText="1"/>
    </xf>
    <xf numFmtId="0" fontId="14" fillId="2" borderId="21" xfId="10" applyFill="1" applyBorder="1" applyAlignment="1">
      <alignment horizontal="center" vertical="center" wrapText="1"/>
    </xf>
    <xf numFmtId="0" fontId="14" fillId="2" borderId="70" xfId="10" applyFill="1" applyBorder="1" applyAlignment="1">
      <alignment horizontal="center" vertical="center" wrapText="1"/>
    </xf>
    <xf numFmtId="0" fontId="14" fillId="2" borderId="68" xfId="10" applyFill="1" applyBorder="1" applyAlignment="1">
      <alignment horizontal="center" vertical="center" wrapText="1"/>
    </xf>
    <xf numFmtId="9" fontId="14" fillId="2" borderId="60" xfId="10" applyNumberFormat="1" applyFill="1" applyBorder="1" applyAlignment="1">
      <alignment horizontal="center" vertical="center"/>
    </xf>
    <xf numFmtId="9" fontId="14" fillId="2" borderId="53" xfId="10" applyNumberFormat="1" applyFill="1" applyBorder="1" applyAlignment="1">
      <alignment horizontal="center" vertical="center"/>
    </xf>
    <xf numFmtId="0" fontId="49" fillId="2" borderId="11" xfId="10" applyFont="1" applyFill="1" applyBorder="1" applyAlignment="1">
      <alignment horizontal="left" vertical="center" wrapText="1" indent="1"/>
    </xf>
    <xf numFmtId="0" fontId="48" fillId="2" borderId="0" xfId="10" applyFont="1" applyFill="1" applyAlignment="1">
      <alignment horizontal="left" vertical="center" wrapText="1" indent="1"/>
    </xf>
    <xf numFmtId="0" fontId="48" fillId="2" borderId="85" xfId="10" applyFont="1" applyFill="1" applyBorder="1" applyAlignment="1">
      <alignment horizontal="left" vertical="center" wrapText="1" indent="1"/>
    </xf>
    <xf numFmtId="3" fontId="26" fillId="2" borderId="5" xfId="10" applyNumberFormat="1" applyFont="1" applyFill="1" applyBorder="1" applyAlignment="1">
      <alignment horizontal="right" vertical="center" wrapText="1"/>
    </xf>
    <xf numFmtId="3" fontId="26" fillId="2" borderId="6" xfId="10" applyNumberFormat="1" applyFont="1" applyFill="1" applyBorder="1" applyAlignment="1">
      <alignment horizontal="right" vertical="center" wrapText="1"/>
    </xf>
    <xf numFmtId="3" fontId="26" fillId="2" borderId="2" xfId="10" applyNumberFormat="1" applyFont="1" applyFill="1" applyBorder="1" applyAlignment="1">
      <alignment horizontal="right" vertical="center" wrapText="1"/>
    </xf>
    <xf numFmtId="0" fontId="26" fillId="2" borderId="5" xfId="10" applyFont="1" applyFill="1" applyBorder="1" applyAlignment="1">
      <alignment horizontal="right" vertical="center" wrapText="1"/>
    </xf>
    <xf numFmtId="0" fontId="26" fillId="2" borderId="6" xfId="10" applyFont="1" applyFill="1" applyBorder="1" applyAlignment="1">
      <alignment horizontal="right" vertical="center" wrapText="1"/>
    </xf>
    <xf numFmtId="0" fontId="26" fillId="2" borderId="2" xfId="10" applyFont="1" applyFill="1" applyBorder="1" applyAlignment="1">
      <alignment horizontal="right" vertical="center" wrapText="1"/>
    </xf>
    <xf numFmtId="0" fontId="26" fillId="2" borderId="73" xfId="10" applyFont="1" applyFill="1" applyBorder="1" applyAlignment="1">
      <alignment horizontal="right" vertical="center" wrapText="1"/>
    </xf>
    <xf numFmtId="0" fontId="26" fillId="2" borderId="72" xfId="10" applyFont="1" applyFill="1" applyBorder="1" applyAlignment="1">
      <alignment horizontal="right" vertical="center" wrapText="1"/>
    </xf>
    <xf numFmtId="0" fontId="26" fillId="2" borderId="71" xfId="10" applyFont="1" applyFill="1" applyBorder="1" applyAlignment="1">
      <alignment horizontal="right" vertical="center" wrapText="1"/>
    </xf>
    <xf numFmtId="0" fontId="26" fillId="2" borderId="76" xfId="10" applyFont="1" applyFill="1" applyBorder="1" applyAlignment="1">
      <alignment horizontal="center" vertical="center" wrapText="1"/>
    </xf>
    <xf numFmtId="0" fontId="26" fillId="2" borderId="75" xfId="10" applyFont="1" applyFill="1" applyBorder="1" applyAlignment="1">
      <alignment horizontal="center" vertical="center" wrapText="1"/>
    </xf>
    <xf numFmtId="0" fontId="26" fillId="2" borderId="74" xfId="10" applyFont="1" applyFill="1" applyBorder="1" applyAlignment="1">
      <alignment horizontal="center" vertical="center" wrapText="1"/>
    </xf>
    <xf numFmtId="0" fontId="14" fillId="2" borderId="84" xfId="10" applyFill="1" applyBorder="1">
      <alignment vertical="center"/>
    </xf>
    <xf numFmtId="0" fontId="14" fillId="2" borderId="83" xfId="10" applyFill="1" applyBorder="1">
      <alignment vertical="center"/>
    </xf>
    <xf numFmtId="0" fontId="14" fillId="2" borderId="41" xfId="10" applyFill="1" applyBorder="1">
      <alignment vertical="center"/>
    </xf>
    <xf numFmtId="0" fontId="14" fillId="2" borderId="35" xfId="10" applyFill="1" applyBorder="1">
      <alignment vertical="center"/>
    </xf>
    <xf numFmtId="0" fontId="14" fillId="2" borderId="0" xfId="10" applyFill="1">
      <alignment vertical="center"/>
    </xf>
    <xf numFmtId="0" fontId="14" fillId="2" borderId="82" xfId="10" applyFill="1" applyBorder="1">
      <alignment vertical="center"/>
    </xf>
    <xf numFmtId="0" fontId="26" fillId="2" borderId="19" xfId="10" applyFont="1" applyFill="1" applyBorder="1" applyAlignment="1">
      <alignment horizontal="center" vertical="center" wrapText="1"/>
    </xf>
    <xf numFmtId="0" fontId="26" fillId="2" borderId="20" xfId="10" applyFont="1" applyFill="1" applyBorder="1" applyAlignment="1">
      <alignment horizontal="center" vertical="center" wrapText="1"/>
    </xf>
    <xf numFmtId="0" fontId="26" fillId="2" borderId="78" xfId="10" applyFont="1" applyFill="1" applyBorder="1" applyAlignment="1">
      <alignment horizontal="center" vertical="center" wrapText="1"/>
    </xf>
    <xf numFmtId="0" fontId="14" fillId="2" borderId="38" xfId="10" applyFill="1" applyBorder="1" applyAlignment="1">
      <alignment horizontal="distributed" vertical="center"/>
    </xf>
    <xf numFmtId="0" fontId="14" fillId="2" borderId="0" xfId="10" applyFill="1" applyAlignment="1">
      <alignment horizontal="distributed" vertical="center"/>
    </xf>
    <xf numFmtId="0" fontId="14" fillId="2" borderId="43" xfId="10" applyFill="1" applyBorder="1" applyAlignment="1">
      <alignment horizontal="distributed" vertical="center"/>
    </xf>
    <xf numFmtId="0" fontId="14" fillId="2" borderId="84" xfId="10" applyFill="1" applyBorder="1" applyAlignment="1">
      <alignment horizontal="distributed" vertical="center"/>
    </xf>
    <xf numFmtId="0" fontId="14" fillId="2" borderId="0" xfId="10" applyFill="1" applyAlignment="1">
      <alignment vertical="center" wrapText="1"/>
    </xf>
    <xf numFmtId="0" fontId="14" fillId="2" borderId="21" xfId="10" applyFill="1" applyBorder="1" applyAlignment="1">
      <alignment vertical="center" wrapText="1"/>
    </xf>
    <xf numFmtId="0" fontId="14" fillId="2" borderId="64" xfId="10" applyFill="1" applyBorder="1" applyAlignment="1">
      <alignment horizontal="center" vertical="center" wrapText="1"/>
    </xf>
    <xf numFmtId="0" fontId="14" fillId="2" borderId="56" xfId="10" applyFill="1" applyBorder="1" applyAlignment="1">
      <alignment horizontal="center" vertical="center" wrapText="1"/>
    </xf>
    <xf numFmtId="0" fontId="14" fillId="2" borderId="59" xfId="10" applyFill="1" applyBorder="1" applyAlignment="1">
      <alignment horizontal="center" vertical="center" wrapText="1"/>
    </xf>
    <xf numFmtId="0" fontId="14" fillId="2" borderId="52" xfId="10" applyFill="1" applyBorder="1" applyAlignment="1">
      <alignment horizontal="center" vertical="center" wrapText="1"/>
    </xf>
    <xf numFmtId="9" fontId="14" fillId="2" borderId="44" xfId="10" applyNumberFormat="1" applyFill="1" applyBorder="1" applyAlignment="1">
      <alignment horizontal="center" vertical="center" wrapText="1"/>
    </xf>
    <xf numFmtId="9" fontId="14" fillId="2" borderId="39"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9" fontId="14" fillId="2" borderId="43" xfId="10" applyNumberFormat="1" applyFill="1" applyBorder="1" applyAlignment="1">
      <alignment horizontal="center" vertical="center" wrapText="1"/>
    </xf>
    <xf numFmtId="9" fontId="14" fillId="2" borderId="38" xfId="10" applyNumberFormat="1" applyFill="1" applyBorder="1" applyAlignment="1">
      <alignment horizontal="center" vertical="center" wrapText="1"/>
    </xf>
    <xf numFmtId="9" fontId="14" fillId="2" borderId="28" xfId="10" applyNumberFormat="1" applyFill="1" applyBorder="1" applyAlignment="1">
      <alignment horizontal="center" vertical="center" wrapText="1"/>
    </xf>
    <xf numFmtId="9" fontId="14" fillId="2" borderId="59" xfId="10" applyNumberFormat="1" applyFill="1" applyBorder="1" applyAlignment="1">
      <alignment horizontal="center" vertical="center"/>
    </xf>
    <xf numFmtId="9" fontId="14" fillId="2" borderId="52" xfId="10" applyNumberFormat="1" applyFill="1" applyBorder="1" applyAlignment="1">
      <alignment horizontal="center" vertical="center"/>
    </xf>
    <xf numFmtId="9" fontId="14" fillId="2" borderId="63" xfId="10" applyNumberFormat="1" applyFill="1" applyBorder="1" applyAlignment="1">
      <alignment horizontal="center" vertical="center" wrapText="1"/>
    </xf>
    <xf numFmtId="9" fontId="14" fillId="2" borderId="62" xfId="10" applyNumberFormat="1" applyFill="1" applyBorder="1" applyAlignment="1">
      <alignment horizontal="center" vertical="center" wrapText="1"/>
    </xf>
    <xf numFmtId="0" fontId="14" fillId="2" borderId="46" xfId="10" applyFill="1" applyBorder="1" applyAlignment="1">
      <alignment horizontal="center" vertical="center" wrapText="1"/>
    </xf>
    <xf numFmtId="0" fontId="14" fillId="2" borderId="32" xfId="10" applyFill="1" applyBorder="1" applyAlignment="1">
      <alignment horizontal="center" vertical="center" wrapText="1"/>
    </xf>
    <xf numFmtId="0" fontId="14" fillId="2" borderId="22" xfId="10" applyFill="1" applyBorder="1" applyAlignment="1">
      <alignment horizontal="center" vertical="center" wrapText="1"/>
    </xf>
    <xf numFmtId="9" fontId="14" fillId="2" borderId="61" xfId="10" applyNumberFormat="1" applyFill="1" applyBorder="1" applyAlignment="1">
      <alignment horizontal="center" vertical="center"/>
    </xf>
    <xf numFmtId="9" fontId="14" fillId="2" borderId="54" xfId="10" applyNumberFormat="1" applyFill="1" applyBorder="1" applyAlignment="1">
      <alignment horizontal="center" vertical="center"/>
    </xf>
    <xf numFmtId="0" fontId="51" fillId="2" borderId="11" xfId="12" applyFont="1" applyFill="1" applyBorder="1" applyAlignment="1" applyProtection="1">
      <alignment horizontal="left" vertical="center" indent="1"/>
    </xf>
    <xf numFmtId="0" fontId="48" fillId="2" borderId="0" xfId="12" applyFont="1" applyFill="1" applyBorder="1" applyAlignment="1" applyProtection="1">
      <alignment horizontal="left" vertical="center" indent="1"/>
    </xf>
    <xf numFmtId="0" fontId="48" fillId="2" borderId="85" xfId="12" applyFont="1" applyFill="1" applyBorder="1" applyAlignment="1" applyProtection="1">
      <alignment horizontal="left" vertical="center" indent="1"/>
    </xf>
    <xf numFmtId="185" fontId="14" fillId="2" borderId="13" xfId="10" applyNumberFormat="1" applyFill="1" applyBorder="1" applyAlignment="1">
      <alignment horizontal="center" vertical="center" wrapText="1"/>
    </xf>
    <xf numFmtId="185" fontId="14" fillId="2" borderId="14" xfId="10" applyNumberFormat="1" applyFill="1" applyBorder="1" applyAlignment="1">
      <alignment horizontal="center" vertical="center" wrapText="1"/>
    </xf>
    <xf numFmtId="185" fontId="14" fillId="2" borderId="15" xfId="10" applyNumberFormat="1" applyFill="1" applyBorder="1" applyAlignment="1">
      <alignment horizontal="center" vertical="center" wrapText="1"/>
    </xf>
    <xf numFmtId="0" fontId="14" fillId="2" borderId="66" xfId="10" applyFill="1" applyBorder="1" applyAlignment="1">
      <alignment horizontal="center" vertical="center" wrapText="1"/>
    </xf>
    <xf numFmtId="0" fontId="14" fillId="2" borderId="58" xfId="10" applyFill="1" applyBorder="1" applyAlignment="1">
      <alignment horizontal="center" vertical="center" wrapText="1"/>
    </xf>
    <xf numFmtId="0" fontId="14" fillId="2" borderId="49" xfId="10" applyFill="1" applyBorder="1" applyAlignment="1">
      <alignment horizontal="center" vertical="center" wrapText="1"/>
    </xf>
    <xf numFmtId="0" fontId="14" fillId="2" borderId="48" xfId="10" applyFill="1" applyBorder="1" applyAlignment="1">
      <alignment horizontal="center" vertical="center" wrapText="1"/>
    </xf>
    <xf numFmtId="0" fontId="14" fillId="2" borderId="31" xfId="10" applyFill="1" applyBorder="1" applyAlignment="1">
      <alignment horizontal="center" vertical="center" wrapText="1"/>
    </xf>
    <xf numFmtId="0" fontId="14" fillId="2" borderId="51" xfId="10" applyFill="1" applyBorder="1" applyAlignment="1">
      <alignment horizontal="center" vertical="center" wrapText="1"/>
    </xf>
    <xf numFmtId="0" fontId="14" fillId="2" borderId="65" xfId="10" applyFill="1" applyBorder="1" applyAlignment="1">
      <alignment horizontal="center" vertical="center" wrapText="1"/>
    </xf>
    <xf numFmtId="0" fontId="14" fillId="2" borderId="57" xfId="10" applyFill="1" applyBorder="1" applyAlignment="1">
      <alignment horizontal="center" vertical="center" wrapText="1"/>
    </xf>
    <xf numFmtId="185" fontId="14" fillId="2" borderId="17" xfId="10" applyNumberFormat="1" applyFill="1" applyBorder="1" applyAlignment="1">
      <alignment horizontal="center" vertical="center" wrapText="1"/>
    </xf>
    <xf numFmtId="185" fontId="14" fillId="2" borderId="16" xfId="10" applyNumberFormat="1" applyFill="1" applyBorder="1" applyAlignment="1">
      <alignment horizontal="center" vertical="center" wrapText="1"/>
    </xf>
    <xf numFmtId="0" fontId="14" fillId="2" borderId="50" xfId="10" applyFill="1" applyBorder="1" applyAlignment="1">
      <alignment horizontal="center" vertical="center" wrapText="1"/>
    </xf>
    <xf numFmtId="0" fontId="14" fillId="2" borderId="0" xfId="10" applyFill="1" applyAlignment="1">
      <alignment vertical="top" wrapText="1"/>
    </xf>
    <xf numFmtId="0" fontId="14" fillId="2" borderId="30" xfId="10" applyFill="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4136F4E0-9BA6-429E-95DA-2F90A2DB591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312;&#12503;&#12521;CO2&#21066;&#28187;&#37327;&#21450;&#12403;&#36027;&#29992;&#23550;&#21177;&#26524;&#12289;&#31639;&#20986;&#12471;&#12540;&#12488;%20(version%204.01).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bing.com/search?q=PLA%e3%81%ae%e7%87%83%e7%84%bc%e7%86%b1&amp;qs=n&amp;sp=-1&amp;lq=0&amp;pq=pla%e3%81%ae%e7%87%83%e7%84%bc%e7%86%b1&amp;sc=0-7&amp;sk=&amp;cvid=05569A31AE41445CA0CC4424873A1966&amp;ghsh=0&amp;ghacc=0&amp;ghpl=&amp;first=1&amp;FORM=PERE" TargetMode="External"/><Relationship Id="rId2" Type="http://schemas.openxmlformats.org/officeDocument/2006/relationships/hyperlink" Target="https://www.bing.com/search?q=PLA%e3%81%ae%e7%87%83%e7%84%bc%e7%86%b1&amp;qs=n&amp;sp=-1&amp;lq=0&amp;pq=pla%e3%81%ae%e7%87%83%e7%84%bc%e7%86%b1&amp;sc=0-7&amp;sk=&amp;cvid=05569A31AE41445CA0CC4424873A1966&amp;ghsh=0&amp;ghacc=0&amp;ghpl=&amp;first=1&amp;FORM=PERE" TargetMode="External"/><Relationship Id="rId1" Type="http://schemas.openxmlformats.org/officeDocument/2006/relationships/hyperlink" Target="https://ghg-santeikohyo.env.go.jp/files/calc/r05_coefficient.pdf"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V156"/>
  <sheetViews>
    <sheetView showGridLines="0" tabSelected="1" workbookViewId="0"/>
  </sheetViews>
  <sheetFormatPr defaultRowHeight="13.5"/>
  <cols>
    <col min="1" max="1" width="4" customWidth="1"/>
    <col min="2" max="2" width="3.75" style="3" customWidth="1"/>
    <col min="3" max="3" width="3.875" customWidth="1"/>
    <col min="4" max="4" width="18.625" customWidth="1"/>
    <col min="5" max="7" width="20.5" customWidth="1"/>
    <col min="8" max="8" width="14.5" customWidth="1"/>
    <col min="9" max="9" width="15.75" customWidth="1"/>
    <col min="10" max="10" width="3.25" customWidth="1"/>
    <col min="11" max="11" width="13" hidden="1" customWidth="1"/>
    <col min="12" max="14" width="9" hidden="1" customWidth="1"/>
    <col min="15" max="15" width="6.25" customWidth="1"/>
    <col min="16" max="16" width="4.125" customWidth="1"/>
    <col min="17" max="17" width="4.875" style="3" customWidth="1"/>
    <col min="18" max="19" width="26.125" customWidth="1"/>
    <col min="20" max="21" width="8.25" customWidth="1"/>
    <col min="22" max="22" width="13.25" customWidth="1"/>
    <col min="23" max="23" width="12.625" customWidth="1"/>
    <col min="24" max="24" width="13.625" customWidth="1"/>
    <col min="25" max="25" width="4" customWidth="1"/>
    <col min="26" max="26" width="11.5" hidden="1" customWidth="1"/>
    <col min="27" max="27" width="11.375" hidden="1" customWidth="1"/>
    <col min="28" max="28" width="18.375" hidden="1" customWidth="1"/>
    <col min="29" max="29" width="11.875" hidden="1" customWidth="1"/>
    <col min="30" max="30" width="10.625" hidden="1" customWidth="1"/>
    <col min="31" max="31" width="9" hidden="1" customWidth="1"/>
    <col min="32" max="32" width="11.25" hidden="1" customWidth="1"/>
    <col min="33" max="38" width="9" hidden="1" customWidth="1"/>
    <col min="39" max="39" width="9" customWidth="1"/>
  </cols>
  <sheetData>
    <row r="1" spans="2:15" ht="9.75" customHeight="1">
      <c r="B1" s="262"/>
      <c r="M1" s="14"/>
    </row>
    <row r="2" spans="2:15" ht="21">
      <c r="B2" s="29" t="s">
        <v>241</v>
      </c>
      <c r="M2" s="14"/>
    </row>
    <row r="3" spans="2:15" ht="16.5" customHeight="1">
      <c r="B3" s="262"/>
      <c r="M3" s="14"/>
    </row>
    <row r="4" spans="2:15" ht="18.75">
      <c r="B4" s="261"/>
      <c r="C4" s="207" t="s">
        <v>205</v>
      </c>
      <c r="M4" s="14"/>
    </row>
    <row r="5" spans="2:15">
      <c r="B5" s="3" t="s">
        <v>11</v>
      </c>
      <c r="C5" t="s">
        <v>233</v>
      </c>
      <c r="M5" s="14"/>
    </row>
    <row r="6" spans="2:15" ht="64.5" customHeight="1" thickBot="1">
      <c r="C6" s="206" t="s">
        <v>186</v>
      </c>
      <c r="D6" s="474" t="s">
        <v>230</v>
      </c>
      <c r="E6" s="475"/>
      <c r="F6" s="237" t="s">
        <v>314</v>
      </c>
      <c r="G6" s="255"/>
      <c r="M6" s="274" t="s">
        <v>74</v>
      </c>
      <c r="N6" s="1" t="s">
        <v>75</v>
      </c>
      <c r="O6" s="3"/>
    </row>
    <row r="7" spans="2:15" ht="18" thickTop="1">
      <c r="C7" s="322"/>
      <c r="D7" s="476"/>
      <c r="E7" s="476"/>
      <c r="F7" s="323"/>
      <c r="G7" s="324"/>
      <c r="M7" s="275" t="str">
        <f t="shared" ref="M7:M12" si="0">IFERROR(VLOOKUP(D7,石油原単位表,2),"")</f>
        <v/>
      </c>
      <c r="N7" s="85" t="str">
        <f t="shared" ref="N7:N12" si="1">IFERROR(ROUND(F7*M7,1),"")</f>
        <v/>
      </c>
      <c r="O7" s="312"/>
    </row>
    <row r="8" spans="2:15" ht="17.25">
      <c r="C8" s="322"/>
      <c r="D8" s="476"/>
      <c r="E8" s="476"/>
      <c r="F8" s="323"/>
      <c r="G8" s="325"/>
      <c r="M8" s="275" t="str">
        <f t="shared" si="0"/>
        <v/>
      </c>
      <c r="N8" s="85" t="str">
        <f t="shared" si="1"/>
        <v/>
      </c>
      <c r="O8" s="312"/>
    </row>
    <row r="9" spans="2:15" ht="17.25">
      <c r="C9" s="55"/>
      <c r="D9" s="476"/>
      <c r="E9" s="476"/>
      <c r="F9" s="323"/>
      <c r="G9" s="325"/>
      <c r="M9" s="275" t="str">
        <f t="shared" si="0"/>
        <v/>
      </c>
      <c r="N9" s="85" t="str">
        <f t="shared" si="1"/>
        <v/>
      </c>
      <c r="O9" s="312"/>
    </row>
    <row r="10" spans="2:15" ht="17.25">
      <c r="C10" s="55"/>
      <c r="D10" s="476"/>
      <c r="E10" s="476"/>
      <c r="F10" s="323"/>
      <c r="G10" s="325"/>
      <c r="M10" s="275" t="str">
        <f t="shared" si="0"/>
        <v/>
      </c>
      <c r="N10" s="85" t="str">
        <f t="shared" si="1"/>
        <v/>
      </c>
      <c r="O10" s="312"/>
    </row>
    <row r="11" spans="2:15" ht="17.25">
      <c r="C11" s="55"/>
      <c r="D11" s="476"/>
      <c r="E11" s="476"/>
      <c r="F11" s="323"/>
      <c r="G11" s="325"/>
      <c r="M11" s="275" t="str">
        <f t="shared" si="0"/>
        <v/>
      </c>
      <c r="N11" s="85" t="str">
        <f t="shared" si="1"/>
        <v/>
      </c>
      <c r="O11" s="312"/>
    </row>
    <row r="12" spans="2:15" ht="18" thickBot="1">
      <c r="C12" s="55"/>
      <c r="D12" s="476"/>
      <c r="E12" s="476"/>
      <c r="F12" s="323"/>
      <c r="G12" s="325"/>
      <c r="I12" s="3" t="s">
        <v>247</v>
      </c>
      <c r="M12" s="275" t="str">
        <f t="shared" si="0"/>
        <v/>
      </c>
      <c r="N12" s="85" t="str">
        <f t="shared" si="1"/>
        <v/>
      </c>
      <c r="O12" s="312"/>
    </row>
    <row r="13" spans="2:15" ht="18" thickBot="1">
      <c r="C13" s="50"/>
      <c r="D13" s="478" t="s">
        <v>9</v>
      </c>
      <c r="E13" s="452"/>
      <c r="F13" s="254">
        <f>SUM(F7:F12)</f>
        <v>0</v>
      </c>
      <c r="G13" s="254"/>
      <c r="H13" s="256" t="s">
        <v>213</v>
      </c>
      <c r="I13" s="421">
        <f>N13</f>
        <v>0</v>
      </c>
      <c r="M13" s="275"/>
      <c r="N13" s="86">
        <f>ROUND(SUM(N7:N12),0)</f>
        <v>0</v>
      </c>
      <c r="O13" s="313"/>
    </row>
    <row r="14" spans="2:15">
      <c r="M14" s="13"/>
    </row>
    <row r="15" spans="2:15">
      <c r="M15" s="13"/>
    </row>
    <row r="16" spans="2:15" hidden="1">
      <c r="B16" s="3" t="s">
        <v>10</v>
      </c>
      <c r="C16" t="s">
        <v>234</v>
      </c>
    </row>
    <row r="17" spans="2:10" ht="68.25" hidden="1" thickBot="1">
      <c r="C17" s="206" t="s">
        <v>203</v>
      </c>
      <c r="D17" s="237" t="s">
        <v>206</v>
      </c>
      <c r="E17" s="237" t="s">
        <v>207</v>
      </c>
      <c r="F17" s="237" t="s">
        <v>208</v>
      </c>
      <c r="G17" s="237" t="s">
        <v>209</v>
      </c>
      <c r="H17" s="249" t="s">
        <v>210</v>
      </c>
      <c r="I17" s="253" t="s">
        <v>211</v>
      </c>
      <c r="J17" s="238"/>
    </row>
    <row r="18" spans="2:10" ht="14.25" hidden="1" thickTop="1">
      <c r="C18" s="38"/>
      <c r="D18" s="38"/>
      <c r="E18" s="229"/>
      <c r="F18" s="229"/>
      <c r="G18" s="227"/>
      <c r="H18" s="273"/>
      <c r="I18" s="54"/>
      <c r="J18" s="243"/>
    </row>
    <row r="19" spans="2:10" hidden="1">
      <c r="C19" s="38"/>
      <c r="D19" s="38"/>
      <c r="E19" s="229"/>
      <c r="F19" s="228"/>
      <c r="G19" s="227"/>
      <c r="H19" s="55"/>
      <c r="I19" s="55"/>
      <c r="J19" s="243"/>
    </row>
    <row r="20" spans="2:10" hidden="1">
      <c r="C20" s="38"/>
      <c r="D20" s="172"/>
      <c r="E20" s="228"/>
      <c r="F20" s="228"/>
      <c r="G20" s="227"/>
      <c r="H20" s="55"/>
      <c r="I20" s="55"/>
      <c r="J20" s="243"/>
    </row>
    <row r="21" spans="2:10" hidden="1">
      <c r="C21" s="38"/>
      <c r="D21" s="172"/>
      <c r="E21" s="228"/>
      <c r="F21" s="228"/>
      <c r="G21" s="227"/>
      <c r="H21" s="251"/>
      <c r="I21" s="55"/>
      <c r="J21" s="243"/>
    </row>
    <row r="22" spans="2:10" hidden="1">
      <c r="C22" s="38"/>
      <c r="D22" s="172"/>
      <c r="E22" s="228"/>
      <c r="F22" s="228"/>
      <c r="G22" s="227"/>
      <c r="H22" s="251"/>
      <c r="I22" s="55"/>
      <c r="J22" s="243"/>
    </row>
    <row r="23" spans="2:10" ht="17.25" hidden="1">
      <c r="C23" s="239"/>
      <c r="D23" s="250"/>
      <c r="E23" s="241"/>
      <c r="F23" s="241"/>
      <c r="G23" s="242"/>
      <c r="H23" s="55"/>
      <c r="I23" s="252"/>
      <c r="J23" s="243"/>
    </row>
    <row r="24" spans="2:10" ht="17.25" hidden="1">
      <c r="C24" s="239"/>
      <c r="D24" s="240"/>
      <c r="E24" s="241"/>
      <c r="F24" s="241"/>
      <c r="G24" s="242"/>
      <c r="H24" s="55"/>
      <c r="I24" s="252"/>
      <c r="J24" s="243"/>
    </row>
    <row r="25" spans="2:10" ht="17.25" hidden="1">
      <c r="C25" s="239"/>
      <c r="D25" s="240"/>
      <c r="E25" s="241"/>
      <c r="F25" s="241"/>
      <c r="G25" s="242"/>
      <c r="H25" s="55"/>
      <c r="I25" s="252"/>
      <c r="J25" s="243"/>
    </row>
    <row r="26" spans="2:10" ht="17.25" hidden="1">
      <c r="C26" s="239"/>
      <c r="D26" s="240"/>
      <c r="E26" s="241"/>
      <c r="F26" s="241"/>
      <c r="G26" s="244"/>
      <c r="H26" s="55"/>
      <c r="I26" s="252"/>
      <c r="J26" s="243"/>
    </row>
    <row r="27" spans="2:10" ht="17.25" hidden="1">
      <c r="C27" s="239"/>
      <c r="D27" s="245"/>
      <c r="E27" s="246"/>
      <c r="F27" s="246"/>
      <c r="G27" s="244"/>
      <c r="H27" s="55"/>
      <c r="I27" s="252"/>
      <c r="J27" s="243"/>
    </row>
    <row r="28" spans="2:10" ht="17.25" hidden="1">
      <c r="C28" s="50"/>
      <c r="D28" s="1" t="s">
        <v>9</v>
      </c>
      <c r="E28" s="247"/>
      <c r="F28" s="247"/>
      <c r="G28" s="248">
        <f>SUM(G18:G27)</f>
        <v>0</v>
      </c>
      <c r="H28" s="55"/>
      <c r="I28" s="252"/>
    </row>
    <row r="29" spans="2:10" hidden="1">
      <c r="D29" s="477" t="s">
        <v>212</v>
      </c>
      <c r="E29" s="477"/>
      <c r="F29" s="477"/>
      <c r="G29" s="477"/>
    </row>
    <row r="30" spans="2:10" hidden="1">
      <c r="D30" s="173"/>
      <c r="E30" s="173"/>
      <c r="F30" s="173"/>
      <c r="G30" s="173"/>
    </row>
    <row r="31" spans="2:10">
      <c r="C31" s="207" t="s">
        <v>214</v>
      </c>
    </row>
    <row r="32" spans="2:10">
      <c r="B32" s="3" t="s">
        <v>10</v>
      </c>
      <c r="C32" t="s">
        <v>235</v>
      </c>
    </row>
    <row r="33" spans="2:15" ht="63.75" customHeight="1" thickBot="1">
      <c r="C33" s="206" t="s">
        <v>186</v>
      </c>
      <c r="D33" s="474" t="s">
        <v>12</v>
      </c>
      <c r="E33" s="475"/>
      <c r="F33" s="237" t="s">
        <v>315</v>
      </c>
      <c r="G33" s="255" t="s">
        <v>316</v>
      </c>
      <c r="M33" s="1" t="s">
        <v>74</v>
      </c>
      <c r="N33" s="1" t="s">
        <v>75</v>
      </c>
      <c r="O33" s="3"/>
    </row>
    <row r="34" spans="2:15" ht="18" thickTop="1">
      <c r="C34" s="322"/>
      <c r="D34" s="476"/>
      <c r="E34" s="476"/>
      <c r="F34" s="323"/>
      <c r="G34" s="326"/>
      <c r="M34" s="85" t="str">
        <f t="shared" ref="M34:M39" si="2">IFERROR(VLOOKUP(D34,バイオ原単位表,9),"")</f>
        <v/>
      </c>
      <c r="N34" s="85" t="str">
        <f t="shared" ref="N34:N39" si="3">IFERROR(ROUND(F34*M34,1),"")</f>
        <v/>
      </c>
      <c r="O34" s="312"/>
    </row>
    <row r="35" spans="2:15" ht="17.25">
      <c r="C35" s="322"/>
      <c r="D35" s="476"/>
      <c r="E35" s="476"/>
      <c r="F35" s="323"/>
      <c r="G35" s="323"/>
      <c r="M35" s="85" t="str">
        <f t="shared" si="2"/>
        <v/>
      </c>
      <c r="N35" s="85" t="str">
        <f t="shared" si="3"/>
        <v/>
      </c>
      <c r="O35" s="312"/>
    </row>
    <row r="36" spans="2:15" ht="17.25">
      <c r="C36" s="55"/>
      <c r="D36" s="476"/>
      <c r="E36" s="476"/>
      <c r="F36" s="323"/>
      <c r="G36" s="323"/>
      <c r="M36" s="85" t="str">
        <f t="shared" si="2"/>
        <v/>
      </c>
      <c r="N36" s="85" t="str">
        <f t="shared" si="3"/>
        <v/>
      </c>
      <c r="O36" s="312"/>
    </row>
    <row r="37" spans="2:15" ht="17.25">
      <c r="C37" s="55"/>
      <c r="D37" s="476"/>
      <c r="E37" s="476"/>
      <c r="F37" s="323"/>
      <c r="G37" s="323"/>
      <c r="M37" s="85" t="str">
        <f t="shared" si="2"/>
        <v/>
      </c>
      <c r="N37" s="85" t="str">
        <f t="shared" si="3"/>
        <v/>
      </c>
      <c r="O37" s="312"/>
    </row>
    <row r="38" spans="2:15" ht="17.25">
      <c r="C38" s="169"/>
      <c r="D38" s="476"/>
      <c r="E38" s="476"/>
      <c r="F38" s="323"/>
      <c r="G38" s="323"/>
      <c r="M38" s="85" t="str">
        <f t="shared" si="2"/>
        <v/>
      </c>
      <c r="N38" s="85" t="str">
        <f t="shared" si="3"/>
        <v/>
      </c>
      <c r="O38" s="312"/>
    </row>
    <row r="39" spans="2:15" ht="18" thickBot="1">
      <c r="C39" s="55"/>
      <c r="D39" s="476"/>
      <c r="E39" s="476"/>
      <c r="F39" s="323"/>
      <c r="G39" s="323"/>
      <c r="I39" s="3" t="s">
        <v>247</v>
      </c>
      <c r="M39" s="85" t="str">
        <f t="shared" si="2"/>
        <v/>
      </c>
      <c r="N39" s="85" t="str">
        <f t="shared" si="3"/>
        <v/>
      </c>
      <c r="O39" s="312"/>
    </row>
    <row r="40" spans="2:15" ht="18" thickBot="1">
      <c r="C40" s="1"/>
      <c r="D40" s="478" t="s">
        <v>9</v>
      </c>
      <c r="E40" s="452"/>
      <c r="F40" s="254">
        <f>SUM(F34:F39)</f>
        <v>0</v>
      </c>
      <c r="G40" s="254">
        <f>SUM(G34:G39)</f>
        <v>0</v>
      </c>
      <c r="H40" s="256" t="s">
        <v>72</v>
      </c>
      <c r="I40" s="421">
        <f>N40</f>
        <v>0</v>
      </c>
      <c r="M40" s="85"/>
      <c r="N40" s="86">
        <f>ROUND(SUM(N34:N39),0)</f>
        <v>0</v>
      </c>
      <c r="O40" s="313"/>
    </row>
    <row r="43" spans="2:15">
      <c r="B43" s="3" t="s">
        <v>8</v>
      </c>
      <c r="C43" t="s">
        <v>231</v>
      </c>
    </row>
    <row r="44" spans="2:15" ht="80.25" customHeight="1" thickBot="1">
      <c r="C44" s="206" t="s">
        <v>203</v>
      </c>
      <c r="D44" s="237" t="s">
        <v>206</v>
      </c>
      <c r="E44" s="237" t="s">
        <v>207</v>
      </c>
      <c r="F44" s="237" t="s">
        <v>208</v>
      </c>
      <c r="G44" s="237" t="s">
        <v>266</v>
      </c>
      <c r="H44" s="249" t="s">
        <v>210</v>
      </c>
      <c r="I44" s="253" t="s">
        <v>211</v>
      </c>
      <c r="J44" s="238"/>
    </row>
    <row r="45" spans="2:15" ht="15" customHeight="1" thickTop="1">
      <c r="C45" s="37"/>
      <c r="D45" s="38"/>
      <c r="E45" s="229"/>
      <c r="F45" s="229"/>
      <c r="G45" s="227"/>
      <c r="H45" s="327"/>
      <c r="I45" s="328"/>
      <c r="J45" s="243"/>
    </row>
    <row r="46" spans="2:15" ht="15" customHeight="1">
      <c r="C46" s="37"/>
      <c r="D46" s="38"/>
      <c r="E46" s="229"/>
      <c r="F46" s="228"/>
      <c r="G46" s="227"/>
      <c r="H46" s="329"/>
      <c r="I46" s="329"/>
      <c r="J46" s="243"/>
    </row>
    <row r="47" spans="2:15" ht="15" customHeight="1">
      <c r="C47" s="37"/>
      <c r="D47" s="172"/>
      <c r="E47" s="228"/>
      <c r="F47" s="228"/>
      <c r="G47" s="227"/>
      <c r="H47" s="329"/>
      <c r="I47" s="329"/>
      <c r="J47" s="243"/>
    </row>
    <row r="48" spans="2:15" ht="15" customHeight="1">
      <c r="C48" s="37"/>
      <c r="D48" s="172"/>
      <c r="E48" s="228"/>
      <c r="F48" s="228"/>
      <c r="G48" s="227"/>
      <c r="H48" s="329"/>
      <c r="I48" s="329"/>
      <c r="J48" s="243"/>
    </row>
    <row r="49" spans="3:36" ht="15" customHeight="1">
      <c r="C49" s="37"/>
      <c r="D49" s="172"/>
      <c r="E49" s="228"/>
      <c r="F49" s="228"/>
      <c r="G49" s="227"/>
      <c r="H49" s="329"/>
      <c r="I49" s="329"/>
      <c r="J49" s="243"/>
    </row>
    <row r="50" spans="3:36" ht="15" customHeight="1">
      <c r="C50" s="330"/>
      <c r="D50" s="331"/>
      <c r="E50" s="332"/>
      <c r="F50" s="332"/>
      <c r="G50" s="333"/>
      <c r="H50" s="329"/>
      <c r="I50" s="334"/>
      <c r="J50" s="243"/>
    </row>
    <row r="51" spans="3:36" ht="15" customHeight="1">
      <c r="C51" s="330"/>
      <c r="D51" s="335"/>
      <c r="E51" s="332"/>
      <c r="F51" s="332"/>
      <c r="G51" s="333"/>
      <c r="H51" s="329"/>
      <c r="I51" s="334"/>
      <c r="J51" s="243"/>
    </row>
    <row r="52" spans="3:36" ht="15" customHeight="1">
      <c r="C52" s="330"/>
      <c r="D52" s="335"/>
      <c r="E52" s="332"/>
      <c r="F52" s="332"/>
      <c r="G52" s="333"/>
      <c r="H52" s="329"/>
      <c r="I52" s="334"/>
      <c r="J52" s="243"/>
    </row>
    <row r="53" spans="3:36" ht="15" customHeight="1">
      <c r="C53" s="330"/>
      <c r="D53" s="335"/>
      <c r="E53" s="332"/>
      <c r="F53" s="332"/>
      <c r="G53" s="336"/>
      <c r="H53" s="329"/>
      <c r="I53" s="334"/>
      <c r="J53" s="243"/>
    </row>
    <row r="54" spans="3:36" ht="15" customHeight="1">
      <c r="C54" s="330"/>
      <c r="D54" s="245"/>
      <c r="E54" s="337"/>
      <c r="F54" s="337"/>
      <c r="G54" s="336"/>
      <c r="H54" s="329"/>
      <c r="I54" s="334"/>
      <c r="J54" s="243"/>
      <c r="M54" t="s">
        <v>264</v>
      </c>
    </row>
    <row r="55" spans="3:36" ht="17.25">
      <c r="C55" s="1"/>
      <c r="D55" s="1" t="s">
        <v>9</v>
      </c>
      <c r="E55" s="247"/>
      <c r="F55" s="247"/>
      <c r="G55" s="248">
        <f>SUM(G45:G54)</f>
        <v>0</v>
      </c>
      <c r="H55" s="55"/>
      <c r="I55" s="252"/>
    </row>
    <row r="56" spans="3:36">
      <c r="D56" s="477" t="s">
        <v>265</v>
      </c>
      <c r="E56" s="477"/>
      <c r="F56" s="477"/>
      <c r="G56" s="477"/>
    </row>
    <row r="57" spans="3:36">
      <c r="D57" s="173"/>
      <c r="E57" s="173"/>
      <c r="F57" s="173"/>
      <c r="G57" s="173"/>
    </row>
    <row r="59" spans="3:36" ht="18.75">
      <c r="P59" s="374" t="s">
        <v>241</v>
      </c>
      <c r="R59" s="30"/>
      <c r="S59" s="30"/>
      <c r="T59" s="30"/>
      <c r="U59" s="30"/>
      <c r="V59" s="30"/>
      <c r="W59" s="30"/>
      <c r="X59" s="30"/>
      <c r="Y59" s="30"/>
      <c r="Z59" s="30"/>
      <c r="AA59" s="30"/>
      <c r="AB59" s="30"/>
      <c r="AC59" s="31"/>
      <c r="AD59" s="32"/>
      <c r="AE59" s="33"/>
      <c r="AF59" s="34"/>
      <c r="AG59" s="30"/>
      <c r="AH59" s="30"/>
    </row>
    <row r="60" spans="3:36" ht="7.5" customHeight="1">
      <c r="Q60" s="34"/>
      <c r="R60" s="30"/>
      <c r="S60" s="30"/>
      <c r="T60" s="30"/>
      <c r="U60" s="30"/>
      <c r="V60" s="30"/>
      <c r="W60" s="30"/>
      <c r="X60" s="30"/>
      <c r="Y60" s="30"/>
      <c r="Z60" s="30"/>
      <c r="AA60" s="30"/>
      <c r="AB60" s="30"/>
      <c r="AC60" s="30"/>
      <c r="AD60" s="32"/>
      <c r="AE60" s="35"/>
      <c r="AF60" s="35"/>
      <c r="AG60" s="30"/>
      <c r="AH60" s="30"/>
    </row>
    <row r="61" spans="3:36" ht="17.25">
      <c r="P61" s="36" t="s">
        <v>15</v>
      </c>
      <c r="Q61" s="174"/>
      <c r="R61" s="30"/>
      <c r="S61" s="30"/>
      <c r="T61" s="30"/>
      <c r="U61" s="30"/>
      <c r="V61" s="30"/>
      <c r="W61" s="30"/>
      <c r="X61" s="30"/>
      <c r="Y61" s="30"/>
      <c r="Z61" s="30"/>
      <c r="AA61" s="30"/>
      <c r="AB61" s="30"/>
      <c r="AC61" s="30"/>
      <c r="AD61" s="32"/>
      <c r="AE61" s="35"/>
      <c r="AF61" s="35"/>
      <c r="AG61" s="30"/>
      <c r="AH61" s="30"/>
    </row>
    <row r="62" spans="3:36" ht="13.5" customHeight="1">
      <c r="P62" s="443" t="s">
        <v>173</v>
      </c>
      <c r="Q62" s="468" t="s">
        <v>16</v>
      </c>
      <c r="R62" s="468" t="s">
        <v>17</v>
      </c>
      <c r="S62" s="468" t="s">
        <v>18</v>
      </c>
      <c r="T62" s="466" t="s">
        <v>176</v>
      </c>
      <c r="U62" s="470"/>
      <c r="V62" s="466" t="s">
        <v>19</v>
      </c>
      <c r="W62" s="467"/>
      <c r="X62" s="338"/>
      <c r="Y62" s="3"/>
      <c r="Z62" s="30"/>
      <c r="AA62" s="30"/>
      <c r="AB62" s="30"/>
      <c r="AC62" s="30"/>
      <c r="AD62" s="32"/>
      <c r="AE62" s="35"/>
      <c r="AF62" s="457" t="s">
        <v>115</v>
      </c>
      <c r="AG62" s="30"/>
      <c r="AH62" s="30"/>
    </row>
    <row r="63" spans="3:36" ht="15" customHeight="1" thickBot="1">
      <c r="P63" s="482"/>
      <c r="Q63" s="483"/>
      <c r="R63" s="482"/>
      <c r="S63" s="469"/>
      <c r="T63" s="339" t="s">
        <v>174</v>
      </c>
      <c r="U63" s="339" t="s">
        <v>175</v>
      </c>
      <c r="V63" s="340" t="s">
        <v>20</v>
      </c>
      <c r="W63" s="340" t="s">
        <v>21</v>
      </c>
      <c r="X63" s="340" t="s">
        <v>75</v>
      </c>
      <c r="Y63" s="34"/>
      <c r="Z63" s="121" t="s">
        <v>106</v>
      </c>
      <c r="AA63" s="103" t="s">
        <v>100</v>
      </c>
      <c r="AB63" s="87" t="s">
        <v>180</v>
      </c>
      <c r="AC63" s="158" t="s">
        <v>75</v>
      </c>
      <c r="AF63" s="457"/>
      <c r="AG63" s="103" t="s">
        <v>114</v>
      </c>
      <c r="AH63" s="87"/>
      <c r="AI63" s="87"/>
      <c r="AJ63" s="87"/>
    </row>
    <row r="64" spans="3:36" ht="15" customHeight="1" thickBot="1">
      <c r="P64" s="458" t="s">
        <v>237</v>
      </c>
      <c r="Q64" s="380"/>
      <c r="R64" s="381"/>
      <c r="S64" s="382"/>
      <c r="T64" s="342"/>
      <c r="U64" s="343"/>
      <c r="V64" s="344"/>
      <c r="W64" s="344"/>
      <c r="X64" s="345" t="str">
        <f>AC64</f>
        <v/>
      </c>
      <c r="Y64" s="30"/>
      <c r="Z64" s="159">
        <f t="shared" ref="Z64:Z69" si="4">IFERROR(VLOOKUP(T64*1000,$AG$73:$AH$81,2),"")</f>
        <v>500</v>
      </c>
      <c r="AA64" s="160" t="str">
        <f>IFERROR(ROUND(EXP(2.71-0.812*LN(U64)-0.654*LN(Z64)),4),"")</f>
        <v/>
      </c>
      <c r="AB64" s="161" t="str">
        <f>IFERROR(ROUND($AJ$69*AA64,4),"")</f>
        <v/>
      </c>
      <c r="AC64" s="162" t="str">
        <f>IFERROR(ROUND(V64*W64*AB64/1000,1),"")</f>
        <v/>
      </c>
      <c r="AF64" s="87" t="s">
        <v>110</v>
      </c>
      <c r="AG64" s="87"/>
      <c r="AH64" s="87"/>
      <c r="AI64" s="87"/>
      <c r="AJ64" s="87"/>
    </row>
    <row r="65" spans="16:48" ht="15" customHeight="1" thickBot="1">
      <c r="P65" s="459"/>
      <c r="Q65" s="380"/>
      <c r="R65" s="381"/>
      <c r="S65" s="382"/>
      <c r="T65" s="342"/>
      <c r="U65" s="343"/>
      <c r="V65" s="344"/>
      <c r="W65" s="344"/>
      <c r="X65" s="345" t="str">
        <f t="shared" ref="X65:X76" si="5">AC65</f>
        <v/>
      </c>
      <c r="Y65" s="30"/>
      <c r="Z65" s="159">
        <f t="shared" si="4"/>
        <v>500</v>
      </c>
      <c r="AA65" s="160" t="str">
        <f t="shared" ref="AA65:AA69" si="6">IFERROR(ROUND(EXP(2.71-0.812*LN(U65)-0.654*LN(Z65)),4),"")</f>
        <v/>
      </c>
      <c r="AB65" s="161" t="str">
        <f t="shared" ref="AB65:AB76" si="7">IFERROR(ROUND($AJ$69*AA65,4),"")</f>
        <v/>
      </c>
      <c r="AC65" s="162" t="str">
        <f t="shared" ref="AC65:AC69" si="8">IFERROR(ROUND(V65*W65*AB65/1000,1),"")</f>
        <v/>
      </c>
      <c r="AF65" s="87"/>
      <c r="AG65" s="120">
        <v>5000</v>
      </c>
      <c r="AH65" s="87" t="s">
        <v>105</v>
      </c>
      <c r="AI65" s="87"/>
      <c r="AJ65" s="87"/>
    </row>
    <row r="66" spans="16:48" ht="15" customHeight="1" thickBot="1">
      <c r="P66" s="459"/>
      <c r="Q66" s="380"/>
      <c r="R66" s="381"/>
      <c r="S66" s="382"/>
      <c r="T66" s="342"/>
      <c r="U66" s="343"/>
      <c r="V66" s="344"/>
      <c r="W66" s="344"/>
      <c r="X66" s="345" t="str">
        <f t="shared" si="5"/>
        <v/>
      </c>
      <c r="Y66" s="30"/>
      <c r="Z66" s="159">
        <f t="shared" si="4"/>
        <v>500</v>
      </c>
      <c r="AA66" s="160" t="str">
        <f t="shared" si="6"/>
        <v/>
      </c>
      <c r="AB66" s="161" t="str">
        <f t="shared" si="7"/>
        <v/>
      </c>
      <c r="AC66" s="162" t="str">
        <f t="shared" si="8"/>
        <v/>
      </c>
      <c r="AF66" s="121" t="s">
        <v>106</v>
      </c>
      <c r="AG66" s="89">
        <f>VLOOKUP(AG65,AG73:AH81,2)</f>
        <v>5000</v>
      </c>
      <c r="AH66" s="87" t="s">
        <v>105</v>
      </c>
      <c r="AI66" s="87"/>
      <c r="AJ66" s="87"/>
    </row>
    <row r="67" spans="16:48" ht="15" customHeight="1" thickBot="1">
      <c r="P67" s="459"/>
      <c r="Q67" s="380"/>
      <c r="R67" s="381"/>
      <c r="S67" s="382"/>
      <c r="T67" s="342"/>
      <c r="U67" s="343"/>
      <c r="V67" s="344"/>
      <c r="W67" s="344"/>
      <c r="X67" s="345" t="str">
        <f t="shared" si="5"/>
        <v/>
      </c>
      <c r="Y67" s="30"/>
      <c r="Z67" s="159">
        <f t="shared" si="4"/>
        <v>500</v>
      </c>
      <c r="AA67" s="160" t="str">
        <f t="shared" si="6"/>
        <v/>
      </c>
      <c r="AB67" s="161" t="str">
        <f t="shared" si="7"/>
        <v/>
      </c>
      <c r="AC67" s="162" t="str">
        <f t="shared" si="8"/>
        <v/>
      </c>
      <c r="AF67" s="121" t="s">
        <v>103</v>
      </c>
      <c r="AG67" s="120">
        <v>50</v>
      </c>
      <c r="AH67" s="87" t="s">
        <v>102</v>
      </c>
      <c r="AI67" s="87"/>
      <c r="AJ67" s="87"/>
    </row>
    <row r="68" spans="16:48" ht="15" customHeight="1" thickBot="1">
      <c r="P68" s="459"/>
      <c r="Q68" s="380"/>
      <c r="R68" s="381"/>
      <c r="S68" s="382"/>
      <c r="T68" s="342"/>
      <c r="U68" s="343"/>
      <c r="V68" s="344"/>
      <c r="W68" s="344"/>
      <c r="X68" s="345" t="str">
        <f t="shared" si="5"/>
        <v/>
      </c>
      <c r="Y68" s="30"/>
      <c r="Z68" s="159">
        <f t="shared" si="4"/>
        <v>500</v>
      </c>
      <c r="AA68" s="160" t="str">
        <f t="shared" si="6"/>
        <v/>
      </c>
      <c r="AB68" s="161" t="str">
        <f t="shared" si="7"/>
        <v/>
      </c>
      <c r="AC68" s="162" t="str">
        <f t="shared" si="8"/>
        <v/>
      </c>
      <c r="AF68" s="103" t="s">
        <v>100</v>
      </c>
      <c r="AG68" s="87" t="s">
        <v>99</v>
      </c>
      <c r="AH68" s="87" t="s">
        <v>98</v>
      </c>
      <c r="AI68" s="118" t="s">
        <v>97</v>
      </c>
      <c r="AJ68" s="3" t="s">
        <v>177</v>
      </c>
      <c r="AK68" s="87" t="s">
        <v>96</v>
      </c>
    </row>
    <row r="69" spans="16:48" ht="15" customHeight="1" thickBot="1">
      <c r="P69" s="459"/>
      <c r="Q69" s="380"/>
      <c r="R69" s="383"/>
      <c r="S69" s="382"/>
      <c r="T69" s="342"/>
      <c r="U69" s="343"/>
      <c r="V69" s="344"/>
      <c r="W69" s="344"/>
      <c r="X69" s="346" t="str">
        <f t="shared" si="5"/>
        <v/>
      </c>
      <c r="Y69" s="30"/>
      <c r="Z69" s="159">
        <f t="shared" si="4"/>
        <v>500</v>
      </c>
      <c r="AA69" s="160" t="str">
        <f t="shared" si="6"/>
        <v/>
      </c>
      <c r="AB69" s="161" t="str">
        <f t="shared" si="7"/>
        <v/>
      </c>
      <c r="AC69" s="162" t="str">
        <f t="shared" si="8"/>
        <v/>
      </c>
      <c r="AF69" s="115">
        <f>ROUND(EXP(2.71-0.812*LN(AG67/100)-0.654*LN(AG66)),4)</f>
        <v>0.10050000000000001</v>
      </c>
      <c r="AG69" s="87">
        <v>37.700000000000003</v>
      </c>
      <c r="AH69" s="87">
        <v>1.8700000000000001E-2</v>
      </c>
      <c r="AI69" s="87">
        <f>44/12</f>
        <v>3.6666666666666665</v>
      </c>
      <c r="AJ69" s="164">
        <f>AG69*AH69*AI69</f>
        <v>2.5849633333333335</v>
      </c>
      <c r="AK69" s="114">
        <f>ROUND(AF69*AJ69,4)</f>
        <v>0.25979999999999998</v>
      </c>
    </row>
    <row r="70" spans="16:48" ht="15" customHeight="1" thickBot="1">
      <c r="P70" s="460"/>
      <c r="Q70" s="384"/>
      <c r="R70" s="385" t="s">
        <v>178</v>
      </c>
      <c r="S70" s="386"/>
      <c r="T70" s="347"/>
      <c r="U70" s="347"/>
      <c r="V70" s="348"/>
      <c r="W70" s="349" t="s">
        <v>71</v>
      </c>
      <c r="X70" s="350">
        <f>ROUND(SUM(X64:X69),0)</f>
        <v>0</v>
      </c>
      <c r="Y70" s="30"/>
      <c r="Z70" s="186"/>
      <c r="AA70" s="187"/>
      <c r="AB70" s="188"/>
      <c r="AC70" s="189">
        <f>SUM(AC64:AC69)</f>
        <v>0</v>
      </c>
      <c r="AD70" s="165"/>
      <c r="AF70" s="115"/>
      <c r="AG70" s="87"/>
      <c r="AH70" s="87"/>
      <c r="AI70" s="87"/>
      <c r="AJ70" s="164"/>
      <c r="AK70" s="166"/>
    </row>
    <row r="71" spans="16:48" ht="15" customHeight="1" thickTop="1" thickBot="1">
      <c r="P71" s="461" t="s">
        <v>238</v>
      </c>
      <c r="Q71" s="387"/>
      <c r="R71" s="381"/>
      <c r="S71" s="382"/>
      <c r="T71" s="342"/>
      <c r="U71" s="343"/>
      <c r="V71" s="344"/>
      <c r="W71" s="344"/>
      <c r="X71" s="351" t="str">
        <f t="shared" si="5"/>
        <v/>
      </c>
      <c r="Y71" s="30"/>
      <c r="Z71" s="182">
        <f t="shared" ref="Z71:Z76" si="9">IFERROR(VLOOKUP(T71*1000,$AG$73:$AH$81,2),"")</f>
        <v>500</v>
      </c>
      <c r="AA71" s="183" t="str">
        <f>IFERROR(ROUND(EXP(2.71-0.812*LN(U71)-0.654*LN(Z71)),4),"")</f>
        <v/>
      </c>
      <c r="AB71" s="184" t="str">
        <f>IFERROR(ROUND($AJ$69*AA71,4),"")</f>
        <v/>
      </c>
      <c r="AC71" s="185" t="str">
        <f>IFERROR(ROUND(V71*W71*AB71/1000,1),"")</f>
        <v/>
      </c>
      <c r="AF71" s="103" t="s">
        <v>93</v>
      </c>
      <c r="AG71" s="103" t="s">
        <v>92</v>
      </c>
      <c r="AH71" s="87" t="s">
        <v>91</v>
      </c>
      <c r="AI71" s="87"/>
      <c r="AK71" s="87" t="s">
        <v>90</v>
      </c>
      <c r="AV71">
        <v>12</v>
      </c>
    </row>
    <row r="72" spans="16:48" ht="15" customHeight="1" thickBot="1">
      <c r="P72" s="459"/>
      <c r="Q72" s="380"/>
      <c r="R72" s="381"/>
      <c r="S72" s="382"/>
      <c r="T72" s="342"/>
      <c r="U72" s="343"/>
      <c r="V72" s="344"/>
      <c r="W72" s="344"/>
      <c r="X72" s="345" t="str">
        <f t="shared" si="5"/>
        <v/>
      </c>
      <c r="Y72" s="30"/>
      <c r="Z72" s="159">
        <f t="shared" si="9"/>
        <v>500</v>
      </c>
      <c r="AA72" s="160" t="str">
        <f t="shared" ref="AA72:AA76" si="10">IFERROR(ROUND(EXP(2.71-0.812*LN(U72)-0.654*LN(Z72)),4),"")</f>
        <v/>
      </c>
      <c r="AB72" s="161" t="str">
        <f t="shared" si="7"/>
        <v/>
      </c>
      <c r="AC72" s="162" t="str">
        <f t="shared" ref="AC72:AC76" si="11">IFERROR(ROUND(V72*W72*AB72/1000,1),"")</f>
        <v/>
      </c>
      <c r="AF72" s="87"/>
      <c r="AG72" s="87"/>
      <c r="AH72" s="87"/>
      <c r="AI72" s="87"/>
      <c r="AJ72" s="87"/>
    </row>
    <row r="73" spans="16:48" ht="15" customHeight="1" thickBot="1">
      <c r="P73" s="459"/>
      <c r="Q73" s="380"/>
      <c r="R73" s="381"/>
      <c r="S73" s="382"/>
      <c r="T73" s="342"/>
      <c r="U73" s="343"/>
      <c r="V73" s="344"/>
      <c r="W73" s="344"/>
      <c r="X73" s="345" t="str">
        <f t="shared" si="5"/>
        <v/>
      </c>
      <c r="Y73" s="30"/>
      <c r="Z73" s="159">
        <f t="shared" si="9"/>
        <v>500</v>
      </c>
      <c r="AA73" s="160" t="str">
        <f t="shared" si="10"/>
        <v/>
      </c>
      <c r="AB73" s="161" t="str">
        <f t="shared" si="7"/>
        <v/>
      </c>
      <c r="AC73" s="162" t="str">
        <f t="shared" si="11"/>
        <v/>
      </c>
      <c r="AF73" s="87"/>
      <c r="AG73" s="89">
        <v>0</v>
      </c>
      <c r="AH73" s="89">
        <v>500</v>
      </c>
      <c r="AI73" s="87"/>
      <c r="AJ73" s="87"/>
    </row>
    <row r="74" spans="16:48" ht="15" customHeight="1" thickBot="1">
      <c r="P74" s="459"/>
      <c r="Q74" s="380"/>
      <c r="R74" s="381"/>
      <c r="S74" s="382"/>
      <c r="T74" s="342"/>
      <c r="U74" s="343"/>
      <c r="V74" s="344"/>
      <c r="W74" s="344"/>
      <c r="X74" s="345" t="str">
        <f t="shared" si="5"/>
        <v/>
      </c>
      <c r="Y74" s="30"/>
      <c r="Z74" s="159">
        <f t="shared" si="9"/>
        <v>500</v>
      </c>
      <c r="AA74" s="160" t="str">
        <f t="shared" si="10"/>
        <v/>
      </c>
      <c r="AB74" s="161" t="str">
        <f t="shared" si="7"/>
        <v/>
      </c>
      <c r="AC74" s="162" t="str">
        <f t="shared" si="11"/>
        <v/>
      </c>
      <c r="AF74" s="87"/>
      <c r="AG74" s="89">
        <v>1000</v>
      </c>
      <c r="AH74" s="89">
        <v>1500</v>
      </c>
      <c r="AI74" s="87"/>
      <c r="AJ74" s="87"/>
    </row>
    <row r="75" spans="16:48" ht="15" customHeight="1" thickBot="1">
      <c r="P75" s="459"/>
      <c r="Q75" s="380"/>
      <c r="R75" s="381"/>
      <c r="S75" s="382"/>
      <c r="T75" s="342"/>
      <c r="U75" s="343"/>
      <c r="V75" s="344"/>
      <c r="W75" s="344"/>
      <c r="X75" s="345" t="str">
        <f t="shared" si="5"/>
        <v/>
      </c>
      <c r="Y75" s="30"/>
      <c r="Z75" s="159">
        <f t="shared" si="9"/>
        <v>500</v>
      </c>
      <c r="AA75" s="160" t="str">
        <f t="shared" si="10"/>
        <v/>
      </c>
      <c r="AB75" s="161" t="str">
        <f t="shared" si="7"/>
        <v/>
      </c>
      <c r="AC75" s="162" t="str">
        <f t="shared" si="11"/>
        <v/>
      </c>
      <c r="AF75" s="87"/>
      <c r="AG75" s="89">
        <v>2000</v>
      </c>
      <c r="AH75" s="89">
        <v>3000</v>
      </c>
      <c r="AI75" s="87"/>
      <c r="AJ75" s="87"/>
    </row>
    <row r="76" spans="16:48" ht="15" customHeight="1" thickBot="1">
      <c r="P76" s="459"/>
      <c r="Q76" s="388"/>
      <c r="R76" s="389"/>
      <c r="S76" s="390"/>
      <c r="T76" s="352"/>
      <c r="U76" s="353"/>
      <c r="V76" s="354"/>
      <c r="W76" s="354"/>
      <c r="X76" s="346" t="str">
        <f t="shared" si="5"/>
        <v/>
      </c>
      <c r="Y76" s="30"/>
      <c r="Z76" s="159">
        <f t="shared" si="9"/>
        <v>500</v>
      </c>
      <c r="AA76" s="160" t="str">
        <f t="shared" si="10"/>
        <v/>
      </c>
      <c r="AB76" s="161" t="str">
        <f t="shared" si="7"/>
        <v/>
      </c>
      <c r="AC76" s="162" t="str">
        <f t="shared" si="11"/>
        <v/>
      </c>
      <c r="AF76" s="87"/>
      <c r="AG76" s="89">
        <v>4000</v>
      </c>
      <c r="AH76" s="89">
        <v>5000</v>
      </c>
      <c r="AI76" s="87"/>
      <c r="AJ76" s="87"/>
    </row>
    <row r="77" spans="16:48" ht="15" customHeight="1" thickBot="1">
      <c r="P77" s="462"/>
      <c r="Q77" s="380"/>
      <c r="R77" s="383" t="s">
        <v>178</v>
      </c>
      <c r="S77" s="382"/>
      <c r="T77" s="341"/>
      <c r="U77" s="341"/>
      <c r="V77" s="341"/>
      <c r="W77" s="355" t="s">
        <v>182</v>
      </c>
      <c r="X77" s="350">
        <f>ROUND(SUM(X71:X76),0)</f>
        <v>0</v>
      </c>
      <c r="Y77" s="30"/>
      <c r="Z77" s="179"/>
      <c r="AA77" s="180"/>
      <c r="AB77" s="181"/>
      <c r="AC77" s="163">
        <f>SUM(AC71:AC76)</f>
        <v>0</v>
      </c>
      <c r="AF77" s="87"/>
      <c r="AG77" s="89"/>
      <c r="AH77" s="89"/>
      <c r="AI77" s="87"/>
      <c r="AJ77" s="87"/>
    </row>
    <row r="78" spans="16:48" ht="9" customHeight="1">
      <c r="Q78" s="391"/>
      <c r="R78" s="392"/>
      <c r="S78" s="392"/>
      <c r="T78" s="30"/>
      <c r="U78" s="30"/>
      <c r="V78" s="30"/>
      <c r="W78" s="30"/>
      <c r="X78" s="30"/>
      <c r="Y78" s="30"/>
      <c r="Z78" s="30"/>
      <c r="AA78" s="30"/>
      <c r="AB78" s="30"/>
      <c r="AC78" s="30"/>
      <c r="AD78" s="32"/>
      <c r="AE78" s="35"/>
      <c r="AF78" s="87"/>
      <c r="AG78" s="89">
        <v>6000</v>
      </c>
      <c r="AH78" s="89">
        <v>7000</v>
      </c>
      <c r="AI78" s="87"/>
      <c r="AJ78" s="87"/>
    </row>
    <row r="79" spans="16:48" ht="17.25" hidden="1">
      <c r="P79" s="36" t="s">
        <v>22</v>
      </c>
      <c r="Q79" s="393"/>
      <c r="R79" s="392"/>
      <c r="S79" s="392"/>
      <c r="T79" s="30"/>
      <c r="U79" s="30"/>
      <c r="V79" s="30"/>
      <c r="W79" s="30"/>
      <c r="X79" s="30"/>
      <c r="Y79" s="30"/>
      <c r="Z79" s="30"/>
      <c r="AA79" s="30"/>
      <c r="AB79" s="30"/>
      <c r="AC79" s="30"/>
      <c r="AD79" s="32"/>
      <c r="AE79" s="35"/>
      <c r="AF79" s="87"/>
      <c r="AG79" s="89">
        <v>8000</v>
      </c>
      <c r="AH79" s="89">
        <v>9000</v>
      </c>
      <c r="AI79" s="87"/>
      <c r="AJ79" s="87"/>
    </row>
    <row r="80" spans="16:48" hidden="1">
      <c r="P80" s="443" t="s">
        <v>173</v>
      </c>
      <c r="Q80" s="445" t="s">
        <v>16</v>
      </c>
      <c r="R80" s="445" t="s">
        <v>17</v>
      </c>
      <c r="S80" s="471" t="s">
        <v>18</v>
      </c>
      <c r="T80" s="473" t="s">
        <v>181</v>
      </c>
      <c r="U80" s="473"/>
      <c r="V80" s="473"/>
      <c r="W80" s="37" t="s">
        <v>19</v>
      </c>
      <c r="X80" s="1"/>
      <c r="Y80" s="3"/>
      <c r="Z80" s="30"/>
      <c r="AA80" s="30"/>
      <c r="AB80" s="30"/>
      <c r="AC80" s="30"/>
      <c r="AD80" s="32"/>
      <c r="AE80" s="35"/>
      <c r="AF80" s="87"/>
      <c r="AG80" s="89">
        <v>10000</v>
      </c>
      <c r="AH80" s="89">
        <v>11000</v>
      </c>
      <c r="AI80" s="87"/>
      <c r="AJ80" s="87"/>
    </row>
    <row r="81" spans="16:36" ht="15" hidden="1" customHeight="1" thickBot="1">
      <c r="P81" s="444"/>
      <c r="Q81" s="446"/>
      <c r="R81" s="447"/>
      <c r="S81" s="472"/>
      <c r="T81" s="473"/>
      <c r="U81" s="473"/>
      <c r="V81" s="473"/>
      <c r="W81" s="37" t="s">
        <v>20</v>
      </c>
      <c r="X81" s="169" t="s">
        <v>75</v>
      </c>
      <c r="Y81" s="3"/>
      <c r="Z81" s="30"/>
      <c r="AA81" s="30"/>
      <c r="AB81" s="87" t="s">
        <v>180</v>
      </c>
      <c r="AC81" s="158" t="s">
        <v>75</v>
      </c>
      <c r="AD81" s="32"/>
      <c r="AE81" s="35"/>
      <c r="AF81" s="87"/>
      <c r="AG81" s="89">
        <v>12000</v>
      </c>
      <c r="AH81" s="89">
        <v>14500</v>
      </c>
      <c r="AI81" s="87"/>
      <c r="AJ81" s="87"/>
    </row>
    <row r="82" spans="16:36" ht="15" hidden="1" customHeight="1" thickBot="1">
      <c r="P82" s="423" t="s">
        <v>171</v>
      </c>
      <c r="Q82" s="396">
        <v>1</v>
      </c>
      <c r="R82" s="397" t="s">
        <v>179</v>
      </c>
      <c r="S82" s="398" t="s">
        <v>23</v>
      </c>
      <c r="T82" s="426" t="s">
        <v>54</v>
      </c>
      <c r="U82" s="427"/>
      <c r="V82" s="428"/>
      <c r="W82" s="175"/>
      <c r="X82" s="195"/>
      <c r="Y82" s="3"/>
      <c r="Z82" s="30"/>
      <c r="AA82" s="30"/>
      <c r="AB82" s="191">
        <f>入出力データ!D19</f>
        <v>2.0499999999999998</v>
      </c>
      <c r="AC82" s="42">
        <f>ROUND(W82*AB82,0)</f>
        <v>0</v>
      </c>
      <c r="AD82" s="32"/>
      <c r="AE82" s="35"/>
      <c r="AF82" s="87"/>
      <c r="AG82" s="89"/>
      <c r="AH82" s="89"/>
      <c r="AI82" s="87"/>
      <c r="AJ82" s="87"/>
    </row>
    <row r="83" spans="16:36" ht="15" hidden="1" customHeight="1" thickBot="1">
      <c r="P83" s="424"/>
      <c r="Q83" s="394">
        <v>2</v>
      </c>
      <c r="R83" s="399"/>
      <c r="S83" s="398"/>
      <c r="T83" s="426"/>
      <c r="U83" s="427"/>
      <c r="V83" s="428"/>
      <c r="W83" s="176"/>
      <c r="X83" s="168"/>
      <c r="Y83" s="3"/>
      <c r="Z83" s="30"/>
      <c r="AA83" s="30"/>
      <c r="AB83" s="191"/>
      <c r="AC83" s="42"/>
      <c r="AD83" s="32"/>
      <c r="AE83" s="35"/>
      <c r="AF83" s="87"/>
      <c r="AG83" s="89"/>
      <c r="AH83" s="89"/>
      <c r="AI83" s="87"/>
      <c r="AJ83" s="87"/>
    </row>
    <row r="84" spans="16:36" ht="15" hidden="1" customHeight="1" thickBot="1">
      <c r="P84" s="424"/>
      <c r="Q84" s="396">
        <v>3</v>
      </c>
      <c r="R84" s="399"/>
      <c r="S84" s="398"/>
      <c r="T84" s="426"/>
      <c r="U84" s="427"/>
      <c r="V84" s="428"/>
      <c r="W84" s="176"/>
      <c r="X84" s="168"/>
      <c r="Y84" s="3"/>
      <c r="Z84" s="30"/>
      <c r="AA84" s="30"/>
      <c r="AB84" s="191"/>
      <c r="AC84" s="42"/>
      <c r="AD84" s="32"/>
      <c r="AE84" s="35"/>
      <c r="AF84" s="87"/>
      <c r="AG84" s="89"/>
      <c r="AH84" s="89"/>
      <c r="AI84" s="87"/>
      <c r="AJ84" s="87"/>
    </row>
    <row r="85" spans="16:36" ht="15" hidden="1" customHeight="1" thickBot="1">
      <c r="P85" s="424"/>
      <c r="Q85" s="394">
        <v>4</v>
      </c>
      <c r="R85" s="399"/>
      <c r="S85" s="398"/>
      <c r="T85" s="426"/>
      <c r="U85" s="427"/>
      <c r="V85" s="428"/>
      <c r="W85" s="176"/>
      <c r="X85" s="168"/>
      <c r="Y85" s="3"/>
      <c r="Z85" s="30"/>
      <c r="AA85" s="30"/>
      <c r="AB85" s="191"/>
      <c r="AC85" s="42"/>
      <c r="AD85" s="32"/>
      <c r="AE85" s="35"/>
      <c r="AF85" s="87"/>
      <c r="AG85" s="89"/>
      <c r="AH85" s="89"/>
      <c r="AI85" s="87"/>
      <c r="AJ85" s="87"/>
    </row>
    <row r="86" spans="16:36" ht="15" hidden="1" customHeight="1" thickBot="1">
      <c r="P86" s="424"/>
      <c r="Q86" s="396">
        <v>5</v>
      </c>
      <c r="R86" s="399"/>
      <c r="S86" s="398"/>
      <c r="T86" s="426"/>
      <c r="U86" s="427"/>
      <c r="V86" s="428"/>
      <c r="W86" s="176"/>
      <c r="X86" s="168"/>
      <c r="Y86" s="3"/>
      <c r="Z86" s="30"/>
      <c r="AA86" s="30"/>
      <c r="AB86" s="191"/>
      <c r="AC86" s="42"/>
      <c r="AD86" s="32"/>
      <c r="AE86" s="35"/>
      <c r="AF86" s="87"/>
      <c r="AG86" s="89"/>
      <c r="AH86" s="89"/>
      <c r="AI86" s="87"/>
      <c r="AJ86" s="87"/>
    </row>
    <row r="87" spans="16:36" ht="15" hidden="1" customHeight="1" thickBot="1">
      <c r="P87" s="424"/>
      <c r="Q87" s="394">
        <v>6</v>
      </c>
      <c r="R87" s="399"/>
      <c r="S87" s="398"/>
      <c r="T87" s="426"/>
      <c r="U87" s="427"/>
      <c r="V87" s="428"/>
      <c r="W87" s="176"/>
      <c r="X87" s="168"/>
      <c r="Y87" s="3"/>
      <c r="Z87" s="30"/>
      <c r="AA87" s="30"/>
      <c r="AB87" s="191"/>
      <c r="AC87" s="42"/>
      <c r="AD87" s="32"/>
      <c r="AE87" s="35"/>
      <c r="AF87" s="87"/>
      <c r="AG87" s="89"/>
      <c r="AH87" s="89"/>
      <c r="AI87" s="87"/>
      <c r="AJ87" s="87"/>
    </row>
    <row r="88" spans="16:36" ht="15" hidden="1" customHeight="1" thickBot="1">
      <c r="P88" s="425"/>
      <c r="Q88" s="400"/>
      <c r="R88" s="401" t="s">
        <v>178</v>
      </c>
      <c r="S88" s="402"/>
      <c r="T88" s="463"/>
      <c r="U88" s="464"/>
      <c r="V88" s="465"/>
      <c r="W88" s="200" t="s">
        <v>71</v>
      </c>
      <c r="X88" s="197">
        <f>AC88</f>
        <v>0</v>
      </c>
      <c r="Y88" s="3"/>
      <c r="Z88" s="30"/>
      <c r="AA88" s="30"/>
      <c r="AB88" s="193"/>
      <c r="AC88" s="190">
        <f>SUM(AC82:AC87)</f>
        <v>0</v>
      </c>
      <c r="AD88" s="32"/>
      <c r="AE88" s="35"/>
      <c r="AF88" s="87"/>
      <c r="AG88" s="89"/>
      <c r="AH88" s="89"/>
      <c r="AI88" s="87"/>
      <c r="AJ88" s="87"/>
    </row>
    <row r="89" spans="16:36" ht="15" hidden="1" customHeight="1" thickTop="1" thickBot="1">
      <c r="P89" s="424" t="s">
        <v>172</v>
      </c>
      <c r="Q89" s="394">
        <v>1</v>
      </c>
      <c r="R89" s="403" t="s">
        <v>179</v>
      </c>
      <c r="S89" s="404" t="s">
        <v>23</v>
      </c>
      <c r="T89" s="426" t="s">
        <v>54</v>
      </c>
      <c r="U89" s="427"/>
      <c r="V89" s="428"/>
      <c r="W89" s="177"/>
      <c r="X89" s="196"/>
      <c r="Y89" s="3"/>
      <c r="Z89" s="30"/>
      <c r="AA89" s="30"/>
      <c r="AB89" s="194">
        <f>入出力データ!D19</f>
        <v>2.0499999999999998</v>
      </c>
      <c r="AC89" s="42">
        <f>ROUND(W89*AB89,0)</f>
        <v>0</v>
      </c>
      <c r="AD89" s="32"/>
      <c r="AE89" s="35"/>
      <c r="AF89" s="87"/>
      <c r="AG89" s="89"/>
      <c r="AH89" s="89"/>
      <c r="AI89" s="87"/>
      <c r="AJ89" s="87"/>
    </row>
    <row r="90" spans="16:36" ht="15" hidden="1" customHeight="1" thickBot="1">
      <c r="P90" s="424"/>
      <c r="Q90" s="394">
        <v>2</v>
      </c>
      <c r="R90" s="403"/>
      <c r="S90" s="404"/>
      <c r="T90" s="426"/>
      <c r="U90" s="427"/>
      <c r="V90" s="428"/>
      <c r="W90" s="177"/>
      <c r="X90" s="196"/>
      <c r="Y90" s="3"/>
      <c r="Z90" s="30"/>
      <c r="AA90" s="30"/>
      <c r="AB90" s="194"/>
      <c r="AC90" s="42"/>
      <c r="AD90" s="32"/>
      <c r="AE90" s="35"/>
      <c r="AF90" s="87"/>
      <c r="AG90" s="89"/>
      <c r="AH90" s="89"/>
      <c r="AI90" s="87"/>
      <c r="AJ90" s="87"/>
    </row>
    <row r="91" spans="16:36" ht="15" hidden="1" customHeight="1" thickBot="1">
      <c r="P91" s="424"/>
      <c r="Q91" s="394">
        <v>3</v>
      </c>
      <c r="R91" s="403"/>
      <c r="S91" s="404"/>
      <c r="T91" s="426"/>
      <c r="U91" s="427"/>
      <c r="V91" s="428"/>
      <c r="W91" s="177"/>
      <c r="X91" s="196"/>
      <c r="Y91" s="3"/>
      <c r="Z91" s="30"/>
      <c r="AA91" s="30"/>
      <c r="AB91" s="194"/>
      <c r="AC91" s="42"/>
      <c r="AD91" s="32"/>
      <c r="AE91" s="35"/>
      <c r="AF91" s="87"/>
      <c r="AG91" s="89"/>
      <c r="AH91" s="89"/>
      <c r="AI91" s="87"/>
      <c r="AJ91" s="87"/>
    </row>
    <row r="92" spans="16:36" ht="15" hidden="1" customHeight="1" thickBot="1">
      <c r="P92" s="424"/>
      <c r="Q92" s="394">
        <v>4</v>
      </c>
      <c r="R92" s="403"/>
      <c r="S92" s="404"/>
      <c r="T92" s="426"/>
      <c r="U92" s="427"/>
      <c r="V92" s="428"/>
      <c r="W92" s="177"/>
      <c r="X92" s="196"/>
      <c r="Y92" s="3"/>
      <c r="Z92" s="30"/>
      <c r="AA92" s="30"/>
      <c r="AB92" s="194"/>
      <c r="AC92" s="42"/>
      <c r="AD92" s="32"/>
      <c r="AE92" s="35"/>
      <c r="AF92" s="87"/>
      <c r="AG92" s="89"/>
      <c r="AH92" s="89"/>
      <c r="AI92" s="87"/>
      <c r="AJ92" s="87"/>
    </row>
    <row r="93" spans="16:36" ht="14.25" hidden="1" customHeight="1" thickBot="1">
      <c r="P93" s="424"/>
      <c r="Q93" s="394">
        <v>5</v>
      </c>
      <c r="R93" s="399"/>
      <c r="S93" s="398"/>
      <c r="T93" s="426"/>
      <c r="U93" s="427"/>
      <c r="V93" s="428"/>
      <c r="W93" s="176"/>
      <c r="X93" s="168"/>
      <c r="Y93" s="3"/>
      <c r="Z93" s="30"/>
      <c r="AA93" s="30"/>
      <c r="AB93" s="191"/>
      <c r="AC93" s="42"/>
      <c r="AD93" s="32"/>
      <c r="AE93" s="35"/>
      <c r="AF93" s="87"/>
      <c r="AG93" s="89"/>
      <c r="AH93" s="89"/>
      <c r="AI93" s="87"/>
      <c r="AJ93" s="87"/>
    </row>
    <row r="94" spans="16:36" ht="15" hidden="1" customHeight="1" thickBot="1">
      <c r="P94" s="424"/>
      <c r="Q94" s="394">
        <v>6</v>
      </c>
      <c r="R94" s="399"/>
      <c r="S94" s="398"/>
      <c r="T94" s="456"/>
      <c r="U94" s="456"/>
      <c r="V94" s="456"/>
      <c r="W94" s="176"/>
      <c r="X94" s="168"/>
      <c r="Y94" s="3"/>
      <c r="Z94" s="30"/>
      <c r="AA94" s="30"/>
      <c r="AB94" s="191"/>
      <c r="AC94" s="42"/>
      <c r="AD94" s="32"/>
      <c r="AE94" s="35"/>
      <c r="AF94" s="87"/>
      <c r="AG94" s="89">
        <v>17000</v>
      </c>
      <c r="AH94" s="87"/>
      <c r="AI94" s="87"/>
      <c r="AJ94" s="87"/>
    </row>
    <row r="95" spans="16:36" ht="15" hidden="1" customHeight="1" thickBot="1">
      <c r="P95" s="442"/>
      <c r="Q95" s="394"/>
      <c r="R95" s="405" t="s">
        <v>178</v>
      </c>
      <c r="S95" s="398"/>
      <c r="T95" s="456"/>
      <c r="U95" s="456"/>
      <c r="V95" s="456"/>
      <c r="W95" s="201" t="s">
        <v>182</v>
      </c>
      <c r="X95" s="192">
        <f>AC95</f>
        <v>0</v>
      </c>
      <c r="Y95" s="3"/>
      <c r="Z95" s="30"/>
      <c r="AA95" s="30"/>
      <c r="AB95" s="191"/>
      <c r="AC95" s="190">
        <f>SUM(AC89:AC94)</f>
        <v>0</v>
      </c>
      <c r="AD95" s="32"/>
      <c r="AE95" s="35"/>
      <c r="AF95" s="87"/>
      <c r="AG95" s="87"/>
      <c r="AH95" s="87"/>
      <c r="AI95" s="87"/>
      <c r="AJ95" s="87"/>
    </row>
    <row r="96" spans="16:36" ht="3" customHeight="1">
      <c r="Q96" s="391"/>
      <c r="R96" s="392"/>
      <c r="S96" s="392"/>
      <c r="T96" s="30"/>
      <c r="U96" s="30"/>
      <c r="V96" s="30"/>
      <c r="W96" s="30"/>
      <c r="X96" s="30"/>
      <c r="Y96" s="30"/>
      <c r="Z96" s="30"/>
      <c r="AA96" s="30"/>
      <c r="AB96" s="30"/>
      <c r="AC96" s="30"/>
      <c r="AD96" s="32"/>
      <c r="AE96" s="35"/>
      <c r="AF96" s="87"/>
      <c r="AG96" s="87"/>
      <c r="AH96" s="87"/>
      <c r="AI96" s="87"/>
      <c r="AJ96" s="87"/>
    </row>
    <row r="97" spans="16:36" ht="17.25">
      <c r="P97" s="36" t="s">
        <v>24</v>
      </c>
      <c r="Q97" s="393"/>
      <c r="R97" s="392"/>
      <c r="S97" s="392"/>
      <c r="T97" s="30"/>
      <c r="U97" s="30"/>
      <c r="V97" s="30"/>
      <c r="W97" s="30"/>
      <c r="X97" s="30"/>
      <c r="Y97" s="30"/>
      <c r="Z97" s="30"/>
      <c r="AA97" s="30"/>
      <c r="AB97" s="30"/>
      <c r="AC97" s="30"/>
      <c r="AD97" s="32"/>
      <c r="AE97" s="35"/>
      <c r="AF97" s="87"/>
      <c r="AG97" s="87"/>
      <c r="AH97" s="87"/>
      <c r="AI97" s="87"/>
      <c r="AJ97" s="87"/>
    </row>
    <row r="98" spans="16:36">
      <c r="P98" s="443" t="s">
        <v>173</v>
      </c>
      <c r="Q98" s="445" t="s">
        <v>16</v>
      </c>
      <c r="R98" s="445" t="s">
        <v>17</v>
      </c>
      <c r="S98" s="445" t="s">
        <v>18</v>
      </c>
      <c r="T98" s="435" t="s">
        <v>181</v>
      </c>
      <c r="U98" s="436"/>
      <c r="V98" s="437"/>
      <c r="W98" s="37" t="s">
        <v>19</v>
      </c>
      <c r="X98" s="1"/>
      <c r="Y98" s="30"/>
      <c r="Z98" s="30"/>
      <c r="AA98" s="30"/>
      <c r="AB98" s="30"/>
      <c r="AC98" s="30"/>
      <c r="AD98" s="32"/>
      <c r="AE98" s="35"/>
      <c r="AF98" s="87"/>
      <c r="AG98" s="87"/>
      <c r="AH98" s="87"/>
      <c r="AI98" s="87"/>
      <c r="AJ98" s="87"/>
    </row>
    <row r="99" spans="16:36" ht="15" customHeight="1" thickBot="1">
      <c r="P99" s="444"/>
      <c r="Q99" s="446"/>
      <c r="R99" s="447"/>
      <c r="S99" s="448"/>
      <c r="T99" s="438"/>
      <c r="U99" s="439"/>
      <c r="V99" s="440"/>
      <c r="W99" s="37" t="s">
        <v>25</v>
      </c>
      <c r="X99" s="169" t="s">
        <v>75</v>
      </c>
      <c r="Y99" s="30"/>
      <c r="Z99" s="30"/>
      <c r="AA99" s="30"/>
      <c r="AB99" s="30"/>
      <c r="AC99" s="30"/>
      <c r="AD99" s="32"/>
      <c r="AE99" s="35"/>
      <c r="AF99" s="87"/>
      <c r="AG99" s="87"/>
      <c r="AH99" s="87"/>
      <c r="AI99" s="87"/>
      <c r="AJ99" s="87"/>
    </row>
    <row r="100" spans="16:36" ht="15" customHeight="1" thickBot="1">
      <c r="P100" s="423" t="s">
        <v>237</v>
      </c>
      <c r="Q100" s="380"/>
      <c r="R100" s="406"/>
      <c r="S100" s="407"/>
      <c r="T100" s="432"/>
      <c r="U100" s="433"/>
      <c r="V100" s="434"/>
      <c r="W100" s="359"/>
      <c r="X100" s="360"/>
      <c r="Y100" s="30"/>
      <c r="Z100" s="30"/>
      <c r="AA100" s="30"/>
      <c r="AB100" s="42" t="str">
        <f>IFERROR(VLOOKUP(T100,入出力データ!$B$10:$D$22,3),"")</f>
        <v/>
      </c>
      <c r="AC100" s="199" t="str">
        <f>IFERROR(W100*AB100,"")</f>
        <v/>
      </c>
      <c r="AD100" s="32"/>
      <c r="AE100" s="35"/>
      <c r="AF100" s="87"/>
      <c r="AG100" s="87"/>
      <c r="AH100" s="87"/>
      <c r="AI100" s="87"/>
      <c r="AJ100" s="87"/>
    </row>
    <row r="101" spans="16:36" ht="15" customHeight="1" thickBot="1">
      <c r="P101" s="424"/>
      <c r="Q101" s="380"/>
      <c r="R101" s="406"/>
      <c r="S101" s="408"/>
      <c r="T101" s="356"/>
      <c r="U101" s="357"/>
      <c r="V101" s="358"/>
      <c r="W101" s="359"/>
      <c r="X101" s="345"/>
      <c r="Y101" s="30"/>
      <c r="Z101" s="30"/>
      <c r="AA101" s="30"/>
      <c r="AB101" s="42" t="str">
        <f>IFERROR(VLOOKUP(T101,入出力データ!$B$10:$D$22,3),"")</f>
        <v/>
      </c>
      <c r="AC101" s="199" t="str">
        <f t="shared" ref="AC101:AC105" si="12">IFERROR(W101*AB101,"")</f>
        <v/>
      </c>
      <c r="AD101" s="32"/>
      <c r="AE101" s="35"/>
      <c r="AF101" s="87"/>
      <c r="AG101" s="87"/>
      <c r="AH101" s="87"/>
      <c r="AI101" s="87"/>
      <c r="AJ101" s="87"/>
    </row>
    <row r="102" spans="16:36" ht="15" customHeight="1" thickBot="1">
      <c r="P102" s="424"/>
      <c r="Q102" s="380"/>
      <c r="R102" s="406"/>
      <c r="S102" s="408"/>
      <c r="T102" s="432"/>
      <c r="U102" s="433"/>
      <c r="V102" s="434"/>
      <c r="W102" s="359"/>
      <c r="X102" s="345"/>
      <c r="Y102" s="30"/>
      <c r="Z102" s="30"/>
      <c r="AA102" s="30"/>
      <c r="AB102" s="42" t="str">
        <f>IFERROR(VLOOKUP(T102,入出力データ!$B$10:$D$22,3),"")</f>
        <v/>
      </c>
      <c r="AC102" s="199" t="str">
        <f t="shared" si="12"/>
        <v/>
      </c>
      <c r="AD102" s="32"/>
      <c r="AE102" s="35"/>
      <c r="AF102" s="87"/>
      <c r="AG102" s="87"/>
      <c r="AH102" s="87"/>
      <c r="AI102" s="87"/>
      <c r="AJ102" s="87"/>
    </row>
    <row r="103" spans="16:36" ht="15" customHeight="1" thickBot="1">
      <c r="P103" s="424"/>
      <c r="Q103" s="380"/>
      <c r="R103" s="406"/>
      <c r="S103" s="408"/>
      <c r="T103" s="432"/>
      <c r="U103" s="433"/>
      <c r="V103" s="434"/>
      <c r="W103" s="359"/>
      <c r="X103" s="345"/>
      <c r="Y103" s="30"/>
      <c r="Z103" s="30"/>
      <c r="AA103" s="30"/>
      <c r="AB103" s="42" t="str">
        <f>IFERROR(VLOOKUP(T103,入出力データ!$B$10:$D$22,3),"")</f>
        <v/>
      </c>
      <c r="AC103" s="199" t="str">
        <f t="shared" si="12"/>
        <v/>
      </c>
      <c r="AD103" s="32"/>
      <c r="AE103" s="35"/>
      <c r="AF103" s="87"/>
      <c r="AG103" s="87"/>
      <c r="AH103" s="87"/>
      <c r="AI103" s="87"/>
      <c r="AJ103" s="87"/>
    </row>
    <row r="104" spans="16:36" ht="15" customHeight="1" thickBot="1">
      <c r="P104" s="424"/>
      <c r="Q104" s="380"/>
      <c r="R104" s="406"/>
      <c r="S104" s="408"/>
      <c r="T104" s="432"/>
      <c r="U104" s="433"/>
      <c r="V104" s="434"/>
      <c r="W104" s="359"/>
      <c r="X104" s="345"/>
      <c r="Y104" s="30"/>
      <c r="Z104" s="30"/>
      <c r="AA104" s="30"/>
      <c r="AB104" s="42" t="str">
        <f>IFERROR(VLOOKUP(T104,入出力データ!$B$10:$D$22,3),"")</f>
        <v/>
      </c>
      <c r="AC104" s="199" t="str">
        <f>IFERROR(W104*AB104,"")</f>
        <v/>
      </c>
      <c r="AE104" s="35"/>
      <c r="AF104" s="87"/>
      <c r="AG104" s="87"/>
      <c r="AH104" s="87"/>
      <c r="AI104" s="87"/>
      <c r="AJ104" s="87"/>
    </row>
    <row r="105" spans="16:36" ht="15" customHeight="1" thickBot="1">
      <c r="P105" s="424"/>
      <c r="Q105" s="380"/>
      <c r="R105" s="406"/>
      <c r="S105" s="408"/>
      <c r="T105" s="432"/>
      <c r="U105" s="433"/>
      <c r="V105" s="434"/>
      <c r="W105" s="359"/>
      <c r="X105" s="345"/>
      <c r="Y105" s="30"/>
      <c r="Z105" s="30"/>
      <c r="AA105" s="30"/>
      <c r="AB105" s="42" t="str">
        <f>IFERROR(VLOOKUP(T105,入出力データ!$B$10:$D$22,3),"")</f>
        <v/>
      </c>
      <c r="AC105" s="199" t="str">
        <f t="shared" si="12"/>
        <v/>
      </c>
      <c r="AE105" s="35"/>
      <c r="AF105" s="87"/>
      <c r="AG105" s="87"/>
      <c r="AH105" s="87"/>
      <c r="AI105" s="87"/>
      <c r="AJ105" s="87"/>
    </row>
    <row r="106" spans="16:36" ht="15" customHeight="1" thickBot="1">
      <c r="P106" s="425"/>
      <c r="Q106" s="384"/>
      <c r="R106" s="385" t="s">
        <v>178</v>
      </c>
      <c r="S106" s="409"/>
      <c r="T106" s="453"/>
      <c r="U106" s="454"/>
      <c r="V106" s="455"/>
      <c r="W106" s="361" t="s">
        <v>71</v>
      </c>
      <c r="X106" s="350">
        <f>ROUND(AC106,0)</f>
        <v>0</v>
      </c>
      <c r="Y106" s="30"/>
      <c r="Z106" s="30"/>
      <c r="AA106" s="30"/>
      <c r="AB106" s="316"/>
      <c r="AC106" s="198">
        <f>SUM(AC100:AC105)</f>
        <v>0</v>
      </c>
      <c r="AE106" s="35"/>
      <c r="AF106" s="87"/>
      <c r="AG106" s="87"/>
      <c r="AH106" s="87"/>
      <c r="AI106" s="87"/>
      <c r="AJ106" s="87"/>
    </row>
    <row r="107" spans="16:36" ht="15" customHeight="1" thickTop="1" thickBot="1">
      <c r="P107" s="441" t="s">
        <v>238</v>
      </c>
      <c r="Q107" s="387"/>
      <c r="R107" s="406"/>
      <c r="S107" s="408"/>
      <c r="T107" s="432"/>
      <c r="U107" s="433"/>
      <c r="V107" s="434"/>
      <c r="W107" s="362"/>
      <c r="X107" s="363"/>
      <c r="Y107" s="30"/>
      <c r="Z107" s="30"/>
      <c r="AA107" s="30">
        <f>IF(T107="⑫発電",0.5,1)</f>
        <v>1</v>
      </c>
      <c r="AB107" s="178" t="str">
        <f>IFERROR(VLOOKUP(T107,入出力データ!$B$10:$D$22,3),"")</f>
        <v/>
      </c>
      <c r="AC107" s="199" t="str">
        <f>IFERROR(W107*AB107*AA107,"")</f>
        <v/>
      </c>
      <c r="AD107" s="32"/>
      <c r="AE107" s="35"/>
      <c r="AF107" s="35"/>
      <c r="AG107" s="30"/>
      <c r="AH107" s="30"/>
    </row>
    <row r="108" spans="16:36" ht="15" customHeight="1" thickBot="1">
      <c r="P108" s="424"/>
      <c r="Q108" s="380"/>
      <c r="R108" s="406"/>
      <c r="S108" s="408"/>
      <c r="T108" s="432"/>
      <c r="U108" s="433"/>
      <c r="V108" s="434"/>
      <c r="W108" s="359"/>
      <c r="X108" s="360"/>
      <c r="Y108" s="30"/>
      <c r="Z108" s="30"/>
      <c r="AA108" s="30">
        <f t="shared" ref="AA108:AA112" si="13">IF(T108="⑫発電",0.5,1)</f>
        <v>1</v>
      </c>
      <c r="AB108" s="42" t="str">
        <f>IFERROR(VLOOKUP(T108,入出力データ!$B$10:$D$22,3),"")</f>
        <v/>
      </c>
      <c r="AC108" s="199" t="str">
        <f t="shared" ref="AC108:AC112" si="14">IFERROR(W108*AB108*AA108,"")</f>
        <v/>
      </c>
      <c r="AD108" s="32"/>
      <c r="AE108" s="35"/>
      <c r="AF108" s="35"/>
      <c r="AG108" s="30"/>
      <c r="AH108" s="30"/>
    </row>
    <row r="109" spans="16:36" ht="15" customHeight="1" thickBot="1">
      <c r="P109" s="424"/>
      <c r="Q109" s="380"/>
      <c r="R109" s="406"/>
      <c r="S109" s="408"/>
      <c r="T109" s="432"/>
      <c r="U109" s="433"/>
      <c r="V109" s="434"/>
      <c r="W109" s="359"/>
      <c r="X109" s="345"/>
      <c r="Y109" s="30"/>
      <c r="Z109" s="30"/>
      <c r="AA109" s="30">
        <f t="shared" si="13"/>
        <v>1</v>
      </c>
      <c r="AB109" s="42" t="str">
        <f>IFERROR(VLOOKUP(T109,入出力データ!$B$10:$D$22,3),"")</f>
        <v/>
      </c>
      <c r="AC109" s="199" t="str">
        <f t="shared" si="14"/>
        <v/>
      </c>
      <c r="AD109" s="32"/>
      <c r="AE109" s="35"/>
      <c r="AF109" s="35"/>
      <c r="AG109" s="30"/>
      <c r="AH109" s="30"/>
    </row>
    <row r="110" spans="16:36" ht="15" customHeight="1" thickBot="1">
      <c r="P110" s="424"/>
      <c r="Q110" s="380"/>
      <c r="R110" s="406"/>
      <c r="S110" s="408"/>
      <c r="T110" s="432"/>
      <c r="U110" s="433"/>
      <c r="V110" s="434"/>
      <c r="W110" s="359"/>
      <c r="X110" s="345"/>
      <c r="Y110" s="30"/>
      <c r="Z110" s="30"/>
      <c r="AA110" s="30">
        <f t="shared" si="13"/>
        <v>1</v>
      </c>
      <c r="AB110" s="42" t="str">
        <f>IFERROR(VLOOKUP(T110,入出力データ!$B$10:$D$22,3),"")</f>
        <v/>
      </c>
      <c r="AC110" s="199" t="str">
        <f t="shared" si="14"/>
        <v/>
      </c>
      <c r="AD110" s="32"/>
      <c r="AE110" s="35"/>
      <c r="AF110" s="35"/>
      <c r="AG110" s="30"/>
      <c r="AH110" s="30"/>
    </row>
    <row r="111" spans="16:36" ht="15" customHeight="1" thickBot="1">
      <c r="P111" s="424"/>
      <c r="Q111" s="380"/>
      <c r="R111" s="406"/>
      <c r="S111" s="408"/>
      <c r="T111" s="432"/>
      <c r="U111" s="433"/>
      <c r="V111" s="434"/>
      <c r="W111" s="359"/>
      <c r="X111" s="345"/>
      <c r="Y111" s="30"/>
      <c r="Z111" s="30"/>
      <c r="AA111" s="30">
        <f t="shared" si="13"/>
        <v>1</v>
      </c>
      <c r="AB111" s="42" t="str">
        <f>IFERROR(VLOOKUP(T111,入出力データ!$B$10:$D$22,3),"")</f>
        <v/>
      </c>
      <c r="AC111" s="199" t="str">
        <f t="shared" si="14"/>
        <v/>
      </c>
      <c r="AE111" s="35"/>
      <c r="AF111" s="35"/>
      <c r="AG111" s="30"/>
      <c r="AH111" s="30"/>
    </row>
    <row r="112" spans="16:36" ht="15" customHeight="1" thickBot="1">
      <c r="P112" s="424"/>
      <c r="Q112" s="380"/>
      <c r="R112" s="406"/>
      <c r="S112" s="408"/>
      <c r="T112" s="432"/>
      <c r="U112" s="433"/>
      <c r="V112" s="434"/>
      <c r="W112" s="359"/>
      <c r="X112" s="345"/>
      <c r="Y112" s="30"/>
      <c r="Z112" s="30"/>
      <c r="AA112" s="30">
        <f t="shared" si="13"/>
        <v>1</v>
      </c>
      <c r="AB112" s="42" t="str">
        <f>IFERROR(VLOOKUP(T112,入出力データ!$B$10:$D$22,3),"")</f>
        <v/>
      </c>
      <c r="AC112" s="199" t="str">
        <f t="shared" si="14"/>
        <v/>
      </c>
      <c r="AE112" s="35"/>
      <c r="AF112" s="35"/>
      <c r="AG112" s="30"/>
      <c r="AH112" s="30"/>
    </row>
    <row r="113" spans="16:34" ht="15" customHeight="1" thickBot="1">
      <c r="P113" s="442"/>
      <c r="Q113" s="380"/>
      <c r="R113" s="383" t="s">
        <v>178</v>
      </c>
      <c r="S113" s="408"/>
      <c r="T113" s="432"/>
      <c r="U113" s="433"/>
      <c r="V113" s="434"/>
      <c r="W113" s="355" t="s">
        <v>182</v>
      </c>
      <c r="X113" s="350">
        <f>ROUND(AC113,0)</f>
        <v>0</v>
      </c>
      <c r="Y113" s="30"/>
      <c r="Z113" s="30"/>
      <c r="AA113" s="30"/>
      <c r="AB113" s="42" t="str">
        <f>IFERROR(VLOOKUP(T113,入出力データ!$B$10:$D$22,3),"")</f>
        <v/>
      </c>
      <c r="AC113" s="43">
        <f>SUM(AC107:AC112)</f>
        <v>0</v>
      </c>
      <c r="AE113" s="35"/>
      <c r="AF113" s="35"/>
      <c r="AG113" s="30"/>
      <c r="AH113" s="30"/>
    </row>
    <row r="114" spans="16:34">
      <c r="P114" s="3"/>
      <c r="Q114" s="391"/>
      <c r="R114" s="392"/>
      <c r="S114" s="392"/>
      <c r="T114" s="30"/>
      <c r="U114" s="30"/>
      <c r="V114" s="30"/>
      <c r="W114" s="30"/>
      <c r="X114" s="30"/>
      <c r="Y114" s="30"/>
      <c r="Z114" s="30"/>
      <c r="AA114" s="30"/>
      <c r="AB114" s="30"/>
      <c r="AC114" s="30"/>
      <c r="AD114" s="32"/>
      <c r="AE114" s="35"/>
      <c r="AF114" s="35"/>
      <c r="AG114" s="30"/>
      <c r="AH114" s="30"/>
    </row>
    <row r="115" spans="16:34" ht="17.25">
      <c r="P115" s="36" t="s">
        <v>240</v>
      </c>
      <c r="Q115" s="393"/>
      <c r="R115" s="392"/>
      <c r="S115" s="392"/>
      <c r="T115" s="30"/>
      <c r="U115" s="30"/>
      <c r="V115" s="30"/>
      <c r="W115" s="30"/>
      <c r="X115" s="30"/>
      <c r="Y115" s="30"/>
      <c r="Z115" s="30"/>
      <c r="AA115" s="30"/>
      <c r="AB115" s="30"/>
      <c r="AC115" s="30"/>
      <c r="AD115" s="32"/>
      <c r="AE115" s="35"/>
      <c r="AF115" s="35"/>
      <c r="AG115" s="30"/>
      <c r="AH115" s="30"/>
    </row>
    <row r="116" spans="16:34">
      <c r="P116" s="443" t="s">
        <v>173</v>
      </c>
      <c r="Q116" s="445" t="s">
        <v>16</v>
      </c>
      <c r="R116" s="445" t="s">
        <v>17</v>
      </c>
      <c r="S116" s="445" t="s">
        <v>18</v>
      </c>
      <c r="T116" s="435" t="s">
        <v>181</v>
      </c>
      <c r="U116" s="436"/>
      <c r="V116" s="437"/>
      <c r="W116" s="37" t="s">
        <v>19</v>
      </c>
      <c r="X116" s="1"/>
      <c r="Y116" s="30"/>
      <c r="Z116" s="30"/>
      <c r="AA116" s="30"/>
      <c r="AB116" s="30"/>
      <c r="AC116" s="30"/>
      <c r="AD116" s="32"/>
      <c r="AE116" s="35"/>
      <c r="AF116" s="35"/>
      <c r="AG116" s="30"/>
      <c r="AH116" s="30"/>
    </row>
    <row r="117" spans="16:34" ht="15" customHeight="1" thickBot="1">
      <c r="P117" s="444"/>
      <c r="Q117" s="446"/>
      <c r="R117" s="447"/>
      <c r="S117" s="448"/>
      <c r="T117" s="438"/>
      <c r="U117" s="439"/>
      <c r="V117" s="440"/>
      <c r="W117" s="169" t="s">
        <v>184</v>
      </c>
      <c r="X117" s="169" t="s">
        <v>75</v>
      </c>
      <c r="Y117" s="30"/>
      <c r="Z117" s="30"/>
      <c r="AA117" s="30"/>
      <c r="AB117" s="30"/>
      <c r="AC117" s="30"/>
      <c r="AD117" s="32"/>
      <c r="AE117" s="35"/>
      <c r="AF117" s="35"/>
      <c r="AG117" s="30"/>
      <c r="AH117" s="30"/>
    </row>
    <row r="118" spans="16:34" ht="15" hidden="1" customHeight="1" thickBot="1">
      <c r="P118" s="423" t="s">
        <v>171</v>
      </c>
      <c r="Q118" s="410">
        <v>1</v>
      </c>
      <c r="R118" s="410" t="s">
        <v>26</v>
      </c>
      <c r="S118" s="411" t="s">
        <v>23</v>
      </c>
      <c r="T118" s="426" t="s">
        <v>185</v>
      </c>
      <c r="U118" s="427"/>
      <c r="V118" s="428"/>
      <c r="W118" s="175"/>
      <c r="X118" s="195"/>
      <c r="Y118" s="30"/>
      <c r="Z118" s="30"/>
      <c r="AA118" s="30"/>
      <c r="AB118" s="42">
        <f>IFERROR(VLOOKUP(T118,入出力データ!$B$10:$D$22,3),"")</f>
        <v>1.99</v>
      </c>
      <c r="AC118" s="199">
        <f>IFERROR(W118*AB118/1000,"")</f>
        <v>0</v>
      </c>
      <c r="AD118" s="32"/>
      <c r="AE118" s="35"/>
      <c r="AF118" s="35"/>
      <c r="AG118" s="30"/>
      <c r="AH118" s="30"/>
    </row>
    <row r="119" spans="16:34" ht="15" hidden="1" customHeight="1" thickBot="1">
      <c r="P119" s="424"/>
      <c r="Q119" s="410">
        <v>2</v>
      </c>
      <c r="R119" s="410" t="s">
        <v>27</v>
      </c>
      <c r="S119" s="411" t="s">
        <v>23</v>
      </c>
      <c r="T119" s="426" t="s">
        <v>183</v>
      </c>
      <c r="U119" s="427"/>
      <c r="V119" s="428"/>
      <c r="W119" s="175"/>
      <c r="X119" s="170"/>
      <c r="Y119" s="30"/>
      <c r="Z119" s="30"/>
      <c r="AA119" s="30"/>
      <c r="AB119" s="42">
        <f>IFERROR(VLOOKUP(T119,入出力データ!$B$10:$D$22,3),"")</f>
        <v>1.99</v>
      </c>
      <c r="AC119" s="199">
        <f t="shared" ref="AC119:AC123" si="15">IFERROR(W119*AB119/1000,"")</f>
        <v>0</v>
      </c>
      <c r="AD119" s="32"/>
      <c r="AE119" s="35"/>
      <c r="AF119" s="35"/>
      <c r="AG119" s="30"/>
      <c r="AH119" s="30"/>
    </row>
    <row r="120" spans="16:34" ht="15" hidden="1" customHeight="1" thickBot="1">
      <c r="P120" s="424"/>
      <c r="Q120" s="410">
        <v>3</v>
      </c>
      <c r="R120" s="410" t="s">
        <v>28</v>
      </c>
      <c r="S120" s="395" t="s">
        <v>215</v>
      </c>
      <c r="T120" s="426"/>
      <c r="U120" s="427"/>
      <c r="V120" s="428"/>
      <c r="W120" s="176"/>
      <c r="X120" s="205">
        <f>電力計算部!G43</f>
        <v>0</v>
      </c>
      <c r="Y120" s="30"/>
      <c r="Z120" s="30"/>
      <c r="AA120" s="30"/>
      <c r="AB120" s="42" t="str">
        <f>IFERROR(VLOOKUP(T120,入出力データ!$B$10:$D$22,3),"")</f>
        <v/>
      </c>
      <c r="AC120" s="199" t="str">
        <f t="shared" si="15"/>
        <v/>
      </c>
      <c r="AD120" s="32"/>
      <c r="AE120" s="35"/>
      <c r="AF120" s="35"/>
      <c r="AG120" s="30"/>
      <c r="AH120" s="30"/>
    </row>
    <row r="121" spans="16:34" ht="15" hidden="1" customHeight="1" thickBot="1">
      <c r="P121" s="424"/>
      <c r="Q121" s="410">
        <v>4</v>
      </c>
      <c r="R121" s="395"/>
      <c r="S121" s="395"/>
      <c r="T121" s="426"/>
      <c r="U121" s="427"/>
      <c r="V121" s="428"/>
      <c r="W121" s="175"/>
      <c r="X121" s="171"/>
      <c r="Y121" s="30"/>
      <c r="Z121" s="30"/>
      <c r="AA121" s="30"/>
      <c r="AB121" s="42" t="str">
        <f>IFERROR(VLOOKUP(T121,入出力データ!$B$10:$D$22,3),"")</f>
        <v/>
      </c>
      <c r="AC121" s="199" t="str">
        <f t="shared" si="15"/>
        <v/>
      </c>
      <c r="AD121" s="32"/>
      <c r="AE121" s="35"/>
      <c r="AF121" s="35"/>
      <c r="AG121" s="30"/>
      <c r="AH121" s="30"/>
    </row>
    <row r="122" spans="16:34" ht="15" hidden="1" customHeight="1" thickBot="1">
      <c r="P122" s="424"/>
      <c r="Q122" s="410">
        <v>5</v>
      </c>
      <c r="R122" s="410"/>
      <c r="S122" s="411"/>
      <c r="T122" s="426"/>
      <c r="U122" s="427"/>
      <c r="V122" s="428"/>
      <c r="W122" s="175"/>
      <c r="X122" s="168"/>
      <c r="Y122" s="30"/>
      <c r="Z122" s="30"/>
      <c r="AA122" s="30"/>
      <c r="AB122" s="42" t="str">
        <f>IFERROR(VLOOKUP(T122,入出力データ!$B$10:$D$22,3),"")</f>
        <v/>
      </c>
      <c r="AC122" s="199" t="str">
        <f t="shared" si="15"/>
        <v/>
      </c>
      <c r="AD122" s="32"/>
      <c r="AE122" s="35"/>
      <c r="AF122" s="35"/>
      <c r="AG122" s="30"/>
      <c r="AH122" s="30"/>
    </row>
    <row r="123" spans="16:34" ht="15" hidden="1" customHeight="1" thickBot="1">
      <c r="P123" s="424"/>
      <c r="Q123" s="410">
        <v>6</v>
      </c>
      <c r="R123" s="410"/>
      <c r="S123" s="411"/>
      <c r="T123" s="426"/>
      <c r="U123" s="427"/>
      <c r="V123" s="428"/>
      <c r="W123" s="175"/>
      <c r="X123" s="168"/>
      <c r="Y123" s="30"/>
      <c r="Z123" s="30"/>
      <c r="AA123" s="30"/>
      <c r="AB123" s="42" t="str">
        <f>IFERROR(VLOOKUP(T123,入出力データ!$B$10:$D$22,3),"")</f>
        <v/>
      </c>
      <c r="AC123" s="199" t="str">
        <f t="shared" si="15"/>
        <v/>
      </c>
      <c r="AD123" s="32"/>
      <c r="AE123" s="35"/>
      <c r="AF123" s="35"/>
      <c r="AG123" s="30"/>
      <c r="AH123" s="30"/>
    </row>
    <row r="124" spans="16:34" ht="15" hidden="1" customHeight="1" thickBot="1">
      <c r="P124" s="425"/>
      <c r="Q124" s="412"/>
      <c r="R124" s="412"/>
      <c r="S124" s="413"/>
      <c r="T124" s="463"/>
      <c r="U124" s="464"/>
      <c r="V124" s="465"/>
      <c r="W124" s="202" t="s">
        <v>71</v>
      </c>
      <c r="X124" s="192">
        <f>ROUND(SUM(X118:X123,AC124),0)</f>
        <v>0</v>
      </c>
      <c r="Y124" s="30"/>
      <c r="Z124" s="30"/>
      <c r="AA124" s="30"/>
      <c r="AB124" s="314"/>
      <c r="AC124" s="315">
        <f>SUM(AC118:AC123)</f>
        <v>0</v>
      </c>
      <c r="AD124" s="32"/>
      <c r="AE124" s="35"/>
      <c r="AF124" s="35"/>
      <c r="AG124" s="30"/>
      <c r="AH124" s="30"/>
    </row>
    <row r="125" spans="16:34" ht="15" customHeight="1" thickTop="1" thickBot="1">
      <c r="P125" s="441" t="s">
        <v>238</v>
      </c>
      <c r="Q125" s="414"/>
      <c r="R125" s="415"/>
      <c r="S125" s="416"/>
      <c r="T125" s="429"/>
      <c r="U125" s="430"/>
      <c r="V125" s="431"/>
      <c r="W125" s="365"/>
      <c r="X125" s="364"/>
      <c r="Y125" s="30"/>
      <c r="Z125" s="30"/>
      <c r="AA125" s="30"/>
      <c r="AB125" s="42" t="str">
        <f>IFERROR(VLOOKUP(T125,入出力データ!$B$10:$D$22,3),"")</f>
        <v/>
      </c>
      <c r="AC125" s="199" t="str">
        <f>IFERROR(W125*AB125/1000,"")</f>
        <v/>
      </c>
      <c r="AD125" s="32"/>
      <c r="AE125" s="35"/>
      <c r="AF125" s="35"/>
      <c r="AG125" s="30"/>
      <c r="AH125" s="30"/>
    </row>
    <row r="126" spans="16:34" ht="15" customHeight="1" thickBot="1">
      <c r="P126" s="424"/>
      <c r="Q126" s="410"/>
      <c r="R126" s="417"/>
      <c r="S126" s="411"/>
      <c r="T126" s="426"/>
      <c r="U126" s="427"/>
      <c r="V126" s="428"/>
      <c r="W126" s="366"/>
      <c r="X126" s="367"/>
      <c r="Y126" s="30"/>
      <c r="Z126" s="30"/>
      <c r="AA126" s="30"/>
      <c r="AB126" s="42" t="str">
        <f>IFERROR(VLOOKUP(T126,入出力データ!$B$10:$D$22,3),"")</f>
        <v/>
      </c>
      <c r="AC126" s="199" t="str">
        <f t="shared" ref="AC126:AC130" si="16">IFERROR(W126*AB126/1000,"")</f>
        <v/>
      </c>
      <c r="AD126" s="32"/>
      <c r="AE126" s="35"/>
      <c r="AF126" s="35"/>
      <c r="AG126" s="30"/>
      <c r="AH126" s="30"/>
    </row>
    <row r="127" spans="16:34" ht="15" customHeight="1" thickBot="1">
      <c r="P127" s="424"/>
      <c r="Q127" s="410"/>
      <c r="R127" s="417"/>
      <c r="S127" s="418"/>
      <c r="T127" s="426"/>
      <c r="U127" s="427"/>
      <c r="V127" s="428"/>
      <c r="W127" s="368"/>
      <c r="X127" s="195"/>
      <c r="Y127" s="30"/>
      <c r="Z127" s="30"/>
      <c r="AA127" s="30"/>
      <c r="AB127" s="42" t="str">
        <f>IFERROR(VLOOKUP(T127,入出力データ!$B$10:$D$22,3),"")</f>
        <v/>
      </c>
      <c r="AC127" s="199" t="str">
        <f t="shared" si="16"/>
        <v/>
      </c>
      <c r="AD127" s="32"/>
      <c r="AE127" s="35"/>
      <c r="AF127" s="35"/>
      <c r="AG127" s="30"/>
      <c r="AH127" s="30"/>
    </row>
    <row r="128" spans="16:34" ht="15" customHeight="1" thickBot="1">
      <c r="P128" s="424"/>
      <c r="Q128" s="410"/>
      <c r="R128" s="417"/>
      <c r="S128" s="411"/>
      <c r="T128" s="426"/>
      <c r="U128" s="427"/>
      <c r="V128" s="428"/>
      <c r="W128" s="366"/>
      <c r="X128" s="171"/>
      <c r="Y128" s="30"/>
      <c r="Z128" s="30"/>
      <c r="AA128" s="30"/>
      <c r="AB128" s="42" t="str">
        <f>IFERROR(VLOOKUP(T128,入出力データ!$B$10:$D$22,3),"")</f>
        <v/>
      </c>
      <c r="AC128" s="199" t="str">
        <f t="shared" si="16"/>
        <v/>
      </c>
      <c r="AD128" s="32"/>
      <c r="AE128" s="35"/>
      <c r="AF128" s="35"/>
      <c r="AG128" s="30"/>
      <c r="AH128" s="30"/>
    </row>
    <row r="129" spans="16:42" ht="15" customHeight="1" thickBot="1">
      <c r="P129" s="424"/>
      <c r="Q129" s="410"/>
      <c r="R129" s="417"/>
      <c r="S129" s="411"/>
      <c r="T129" s="426"/>
      <c r="U129" s="427"/>
      <c r="V129" s="428"/>
      <c r="W129" s="366"/>
      <c r="X129" s="168"/>
      <c r="Y129" s="30"/>
      <c r="Z129" s="30"/>
      <c r="AA129" s="30"/>
      <c r="AB129" s="42" t="str">
        <f>IFERROR(VLOOKUP(T129,入出力データ!$B$10:$D$22,3),"")</f>
        <v/>
      </c>
      <c r="AC129" s="199" t="str">
        <f t="shared" si="16"/>
        <v/>
      </c>
      <c r="AD129" s="32"/>
      <c r="AE129" s="35"/>
      <c r="AF129" s="35"/>
      <c r="AG129" s="30"/>
      <c r="AH129" s="30"/>
    </row>
    <row r="130" spans="16:42" ht="15" customHeight="1" thickBot="1">
      <c r="P130" s="424"/>
      <c r="Q130" s="410">
        <v>6</v>
      </c>
      <c r="R130" s="417" t="s">
        <v>28</v>
      </c>
      <c r="S130" s="418" t="s">
        <v>215</v>
      </c>
      <c r="T130" s="426"/>
      <c r="U130" s="427"/>
      <c r="V130" s="428"/>
      <c r="W130" s="369"/>
      <c r="X130" s="168">
        <f>電力計算部!G52</f>
        <v>0</v>
      </c>
      <c r="Y130" s="30"/>
      <c r="Z130" s="30"/>
      <c r="AA130" s="30"/>
      <c r="AB130" s="42" t="str">
        <f>IFERROR(VLOOKUP(T130,入出力データ!$B$10:$D$22,3),"")</f>
        <v/>
      </c>
      <c r="AC130" s="199" t="str">
        <f t="shared" si="16"/>
        <v/>
      </c>
      <c r="AD130" s="32"/>
      <c r="AE130" s="35"/>
      <c r="AF130" s="35"/>
      <c r="AG130" s="30"/>
      <c r="AH130" s="30"/>
    </row>
    <row r="131" spans="16:42" ht="15" customHeight="1" thickBot="1">
      <c r="P131" s="442"/>
      <c r="Q131" s="410"/>
      <c r="R131" s="410"/>
      <c r="S131" s="419"/>
      <c r="T131" s="426"/>
      <c r="U131" s="427"/>
      <c r="V131" s="428"/>
      <c r="W131" s="355" t="s">
        <v>182</v>
      </c>
      <c r="X131" s="350">
        <f>ROUND(SUM(X125:X130,AC131),0)</f>
        <v>0</v>
      </c>
      <c r="Y131" s="30"/>
      <c r="Z131" s="30"/>
      <c r="AA131" s="30"/>
      <c r="AB131" s="317"/>
      <c r="AC131" s="198">
        <f>SUM(AC125:AC130)</f>
        <v>0</v>
      </c>
      <c r="AD131" s="32"/>
      <c r="AE131" s="35"/>
      <c r="AF131" s="35"/>
      <c r="AG131" s="30"/>
      <c r="AH131" s="30"/>
    </row>
    <row r="132" spans="16:42" ht="15" customHeight="1">
      <c r="P132" s="167"/>
      <c r="Q132" s="391"/>
      <c r="R132" s="391"/>
      <c r="S132" s="392"/>
      <c r="T132" s="30"/>
      <c r="U132" s="30"/>
      <c r="V132" s="30"/>
      <c r="W132" s="203"/>
      <c r="X132" s="204"/>
      <c r="Y132" s="30"/>
      <c r="Z132" s="30"/>
      <c r="AA132" s="30"/>
      <c r="AB132" s="30"/>
      <c r="AD132" s="32"/>
      <c r="AE132" s="35"/>
      <c r="AF132" s="35"/>
      <c r="AG132" s="30"/>
      <c r="AH132" s="30"/>
    </row>
    <row r="133" spans="16:42" ht="2.25" customHeight="1">
      <c r="P133" s="3"/>
      <c r="Q133" s="391"/>
      <c r="R133" s="392"/>
      <c r="S133" s="392"/>
      <c r="T133" s="30"/>
      <c r="U133" s="30"/>
      <c r="V133" s="30"/>
      <c r="W133" s="30"/>
      <c r="X133" s="30"/>
      <c r="Y133" s="30"/>
      <c r="Z133" s="30"/>
      <c r="AA133" s="30"/>
      <c r="AB133" s="30"/>
      <c r="AC133" s="30"/>
      <c r="AD133" s="32"/>
      <c r="AE133" s="35"/>
      <c r="AF133" s="35"/>
      <c r="AG133" s="30"/>
      <c r="AH133" s="30"/>
    </row>
    <row r="134" spans="16:42" ht="17.25">
      <c r="P134" s="39" t="s">
        <v>29</v>
      </c>
      <c r="Q134" s="391"/>
      <c r="R134" s="392"/>
      <c r="S134" s="392"/>
      <c r="T134" s="30"/>
      <c r="U134" s="30"/>
      <c r="V134" s="30"/>
      <c r="W134" s="30"/>
      <c r="X134" s="30"/>
      <c r="Y134" s="30"/>
      <c r="Z134" s="30"/>
      <c r="AA134" s="30"/>
      <c r="AB134" s="30"/>
      <c r="AC134" s="30"/>
      <c r="AD134" s="32"/>
      <c r="AE134" s="35"/>
      <c r="AF134" s="30"/>
      <c r="AG134" s="30"/>
      <c r="AH134" s="30"/>
      <c r="AI134" s="30"/>
      <c r="AJ134" s="30"/>
      <c r="AK134" s="30"/>
      <c r="AL134" s="30"/>
      <c r="AM134" s="30"/>
      <c r="AN134" s="30"/>
      <c r="AO134" s="30"/>
      <c r="AP134" s="30"/>
    </row>
    <row r="135" spans="16:42" ht="13.5" customHeight="1">
      <c r="P135" s="443" t="s">
        <v>173</v>
      </c>
      <c r="Q135" s="445" t="s">
        <v>16</v>
      </c>
      <c r="R135" s="445" t="s">
        <v>17</v>
      </c>
      <c r="S135" s="445" t="s">
        <v>18</v>
      </c>
      <c r="T135" s="449" t="s">
        <v>176</v>
      </c>
      <c r="U135" s="450"/>
      <c r="V135" s="451" t="s">
        <v>19</v>
      </c>
      <c r="W135" s="452"/>
      <c r="X135" s="1"/>
      <c r="Y135" s="3"/>
      <c r="Z135" s="30"/>
      <c r="AA135" s="30"/>
      <c r="AB135" s="30"/>
      <c r="AC135" s="30"/>
      <c r="AD135" s="32"/>
      <c r="AE135" s="35"/>
      <c r="AF135" s="30"/>
      <c r="AG135" s="30"/>
      <c r="AH135" s="30"/>
      <c r="AI135" s="30"/>
      <c r="AJ135" s="30"/>
      <c r="AK135" s="30"/>
      <c r="AL135" s="30"/>
      <c r="AM135" s="30"/>
      <c r="AN135" s="30"/>
      <c r="AO135" s="30"/>
      <c r="AP135" s="30"/>
    </row>
    <row r="136" spans="16:42" ht="15" customHeight="1" thickBot="1">
      <c r="P136" s="444"/>
      <c r="Q136" s="446"/>
      <c r="R136" s="447"/>
      <c r="S136" s="448"/>
      <c r="T136" s="56" t="s">
        <v>174</v>
      </c>
      <c r="U136" s="56" t="s">
        <v>175</v>
      </c>
      <c r="V136" s="37" t="s">
        <v>20</v>
      </c>
      <c r="W136" s="37" t="s">
        <v>21</v>
      </c>
      <c r="X136" s="169" t="s">
        <v>75</v>
      </c>
      <c r="Y136" s="34"/>
      <c r="Z136" s="121" t="s">
        <v>106</v>
      </c>
      <c r="AA136" s="103" t="s">
        <v>100</v>
      </c>
      <c r="AB136" s="87" t="s">
        <v>180</v>
      </c>
      <c r="AC136" s="158" t="s">
        <v>75</v>
      </c>
      <c r="AF136" s="30"/>
      <c r="AG136" s="30"/>
      <c r="AH136" s="30"/>
      <c r="AI136" s="30"/>
      <c r="AJ136" s="30"/>
      <c r="AK136" s="30"/>
      <c r="AL136" s="30"/>
      <c r="AM136" s="30"/>
      <c r="AN136" s="30"/>
      <c r="AO136" s="30"/>
      <c r="AP136" s="30"/>
    </row>
    <row r="137" spans="16:42" ht="15" customHeight="1" thickBot="1">
      <c r="P137" s="423" t="s">
        <v>237</v>
      </c>
      <c r="Q137" s="380"/>
      <c r="R137" s="381"/>
      <c r="S137" s="382"/>
      <c r="T137" s="342"/>
      <c r="U137" s="343"/>
      <c r="V137" s="344"/>
      <c r="W137" s="344"/>
      <c r="X137" s="345" t="str">
        <f>AC137</f>
        <v/>
      </c>
      <c r="Y137" s="30"/>
      <c r="Z137" s="159">
        <f t="shared" ref="Z137:Z142" si="17">IFERROR(VLOOKUP(T137*1000,$AG$73:$AH$81,2),"")</f>
        <v>500</v>
      </c>
      <c r="AA137" s="160" t="str">
        <f>IFERROR(ROUND(EXP(2.71-0.812*LN(U137)-0.654*LN(Z137)),4),"")</f>
        <v/>
      </c>
      <c r="AB137" s="161" t="str">
        <f>IFERROR(ROUND($AJ$69*AA137,4),"")</f>
        <v/>
      </c>
      <c r="AC137" s="162" t="str">
        <f>IFERROR(ROUND(V137*W137*AB137/1000,1),"")</f>
        <v/>
      </c>
      <c r="AF137" s="30"/>
      <c r="AG137" s="30"/>
      <c r="AH137" s="30"/>
      <c r="AI137" s="30"/>
      <c r="AJ137" s="30"/>
      <c r="AK137" s="30"/>
      <c r="AL137" s="30"/>
      <c r="AM137" s="30"/>
      <c r="AN137" s="30"/>
      <c r="AO137" s="30"/>
      <c r="AP137" s="30"/>
    </row>
    <row r="138" spans="16:42" ht="15" customHeight="1" thickBot="1">
      <c r="P138" s="424"/>
      <c r="Q138" s="380"/>
      <c r="R138" s="381"/>
      <c r="S138" s="382"/>
      <c r="T138" s="342"/>
      <c r="U138" s="343"/>
      <c r="V138" s="344"/>
      <c r="W138" s="344"/>
      <c r="X138" s="345" t="str">
        <f t="shared" ref="X138:X142" si="18">AC138</f>
        <v/>
      </c>
      <c r="Y138" s="30"/>
      <c r="Z138" s="159">
        <f t="shared" si="17"/>
        <v>500</v>
      </c>
      <c r="AA138" s="160" t="str">
        <f t="shared" ref="AA138:AA142" si="19">IFERROR(ROUND(EXP(2.71-0.812*LN(U138)-0.654*LN(Z138)),4),"")</f>
        <v/>
      </c>
      <c r="AB138" s="161" t="str">
        <f t="shared" ref="AB138:AB149" si="20">IFERROR(ROUND($AJ$69*AA138,4),"")</f>
        <v/>
      </c>
      <c r="AC138" s="162" t="str">
        <f t="shared" ref="AC138:AC142" si="21">IFERROR(ROUND(V138*W138*AB138/1000,1),"")</f>
        <v/>
      </c>
      <c r="AF138" s="30"/>
      <c r="AG138" s="30"/>
      <c r="AH138" s="30"/>
      <c r="AI138" s="30"/>
      <c r="AJ138" s="30"/>
      <c r="AK138" s="30"/>
      <c r="AL138" s="30"/>
      <c r="AM138" s="30"/>
      <c r="AN138" s="30"/>
      <c r="AO138" s="30"/>
      <c r="AP138" s="30"/>
    </row>
    <row r="139" spans="16:42" ht="15" customHeight="1" thickBot="1">
      <c r="P139" s="424"/>
      <c r="Q139" s="380"/>
      <c r="R139" s="420"/>
      <c r="S139" s="382"/>
      <c r="T139" s="342"/>
      <c r="U139" s="343"/>
      <c r="V139" s="344"/>
      <c r="W139" s="344"/>
      <c r="X139" s="345" t="str">
        <f t="shared" si="18"/>
        <v/>
      </c>
      <c r="Y139" s="30"/>
      <c r="Z139" s="159">
        <f t="shared" si="17"/>
        <v>500</v>
      </c>
      <c r="AA139" s="160" t="str">
        <f t="shared" si="19"/>
        <v/>
      </c>
      <c r="AB139" s="161" t="str">
        <f t="shared" si="20"/>
        <v/>
      </c>
      <c r="AC139" s="162" t="str">
        <f t="shared" si="21"/>
        <v/>
      </c>
      <c r="AF139" s="30"/>
      <c r="AG139" s="30"/>
      <c r="AH139" s="30"/>
      <c r="AI139" s="30"/>
      <c r="AJ139" s="30"/>
      <c r="AK139" s="30"/>
      <c r="AL139" s="30"/>
      <c r="AM139" s="30"/>
      <c r="AN139" s="30"/>
      <c r="AO139" s="30"/>
      <c r="AP139" s="30"/>
    </row>
    <row r="140" spans="16:42" ht="15" customHeight="1" thickBot="1">
      <c r="P140" s="424"/>
      <c r="Q140" s="380"/>
      <c r="R140" s="420"/>
      <c r="S140" s="382"/>
      <c r="T140" s="342"/>
      <c r="U140" s="343"/>
      <c r="V140" s="344"/>
      <c r="W140" s="344"/>
      <c r="X140" s="345" t="str">
        <f t="shared" si="18"/>
        <v/>
      </c>
      <c r="Y140" s="30"/>
      <c r="Z140" s="159">
        <f t="shared" si="17"/>
        <v>500</v>
      </c>
      <c r="AA140" s="160" t="str">
        <f t="shared" si="19"/>
        <v/>
      </c>
      <c r="AB140" s="161" t="str">
        <f t="shared" si="20"/>
        <v/>
      </c>
      <c r="AC140" s="162" t="str">
        <f t="shared" si="21"/>
        <v/>
      </c>
      <c r="AF140" s="30"/>
      <c r="AG140" s="30"/>
      <c r="AH140" s="30"/>
      <c r="AI140" s="30"/>
      <c r="AJ140" s="30"/>
      <c r="AK140" s="30"/>
      <c r="AL140" s="30"/>
      <c r="AM140" s="30"/>
      <c r="AN140" s="30"/>
      <c r="AO140" s="30"/>
      <c r="AP140" s="30"/>
    </row>
    <row r="141" spans="16:42" ht="15" customHeight="1" thickBot="1">
      <c r="P141" s="424"/>
      <c r="Q141" s="380"/>
      <c r="R141" s="381"/>
      <c r="S141" s="382"/>
      <c r="T141" s="342"/>
      <c r="U141" s="343"/>
      <c r="V141" s="344"/>
      <c r="W141" s="344"/>
      <c r="X141" s="345" t="str">
        <f t="shared" si="18"/>
        <v/>
      </c>
      <c r="Y141" s="30"/>
      <c r="Z141" s="159">
        <f t="shared" si="17"/>
        <v>500</v>
      </c>
      <c r="AA141" s="160" t="str">
        <f t="shared" si="19"/>
        <v/>
      </c>
      <c r="AB141" s="161" t="str">
        <f t="shared" si="20"/>
        <v/>
      </c>
      <c r="AC141" s="162" t="str">
        <f t="shared" si="21"/>
        <v/>
      </c>
      <c r="AF141" s="30"/>
      <c r="AG141" s="30"/>
      <c r="AH141" s="30"/>
      <c r="AI141" s="30"/>
      <c r="AJ141" s="30"/>
      <c r="AK141" s="30"/>
      <c r="AL141" s="30"/>
      <c r="AM141" s="30"/>
      <c r="AN141" s="30"/>
      <c r="AO141" s="30"/>
      <c r="AP141" s="30"/>
    </row>
    <row r="142" spans="16:42" ht="15" customHeight="1" thickBot="1">
      <c r="P142" s="424"/>
      <c r="Q142" s="380"/>
      <c r="R142" s="381"/>
      <c r="S142" s="382"/>
      <c r="T142" s="342"/>
      <c r="U142" s="343"/>
      <c r="V142" s="344"/>
      <c r="W142" s="344"/>
      <c r="X142" s="346" t="str">
        <f t="shared" si="18"/>
        <v/>
      </c>
      <c r="Y142" s="30"/>
      <c r="Z142" s="159">
        <f t="shared" si="17"/>
        <v>500</v>
      </c>
      <c r="AA142" s="160" t="str">
        <f t="shared" si="19"/>
        <v/>
      </c>
      <c r="AB142" s="161" t="str">
        <f t="shared" si="20"/>
        <v/>
      </c>
      <c r="AC142" s="162" t="str">
        <f t="shared" si="21"/>
        <v/>
      </c>
      <c r="AF142" s="30"/>
      <c r="AG142" s="30"/>
      <c r="AH142" s="30"/>
      <c r="AI142" s="30"/>
      <c r="AJ142" s="30"/>
      <c r="AK142" s="30"/>
      <c r="AL142" s="30"/>
      <c r="AM142" s="30"/>
      <c r="AN142" s="30"/>
      <c r="AO142" s="30"/>
      <c r="AP142" s="30"/>
    </row>
    <row r="143" spans="16:42" ht="15" customHeight="1" thickBot="1">
      <c r="P143" s="425"/>
      <c r="Q143" s="384"/>
      <c r="R143" s="385" t="s">
        <v>178</v>
      </c>
      <c r="S143" s="386"/>
      <c r="T143" s="347"/>
      <c r="U143" s="347"/>
      <c r="V143" s="348"/>
      <c r="W143" s="349" t="s">
        <v>71</v>
      </c>
      <c r="X143" s="350">
        <f>ROUND(SUM(X137:X142),0)</f>
        <v>0</v>
      </c>
      <c r="Y143" s="30"/>
      <c r="Z143" s="186"/>
      <c r="AA143" s="187"/>
      <c r="AB143" s="188"/>
      <c r="AC143" s="189">
        <f>SUM(AC137:AC142)</f>
        <v>0</v>
      </c>
      <c r="AD143" s="165"/>
      <c r="AF143" s="30"/>
      <c r="AG143" s="30"/>
      <c r="AH143" s="30"/>
      <c r="AI143" s="30"/>
      <c r="AJ143" s="30"/>
      <c r="AK143" s="30"/>
      <c r="AL143" s="30"/>
      <c r="AM143" s="30"/>
      <c r="AN143" s="30"/>
      <c r="AO143" s="30"/>
      <c r="AP143" s="30"/>
    </row>
    <row r="144" spans="16:42" ht="15" customHeight="1" thickTop="1" thickBot="1">
      <c r="P144" s="441" t="s">
        <v>238</v>
      </c>
      <c r="Q144" s="387"/>
      <c r="R144" s="381"/>
      <c r="S144" s="382"/>
      <c r="T144" s="342"/>
      <c r="U144" s="370"/>
      <c r="V144" s="371"/>
      <c r="W144" s="344"/>
      <c r="X144" s="351" t="str">
        <f t="shared" ref="X144:X149" si="22">AC144</f>
        <v/>
      </c>
      <c r="Y144" s="30"/>
      <c r="Z144" s="182">
        <f t="shared" ref="Z144:Z149" si="23">IFERROR(VLOOKUP(T144*1000,$AG$73:$AH$81,2),"")</f>
        <v>500</v>
      </c>
      <c r="AA144" s="183" t="str">
        <f>IFERROR(ROUND(EXP(2.71-0.812*LN(U144)-0.654*LN(Z144)),4),"")</f>
        <v/>
      </c>
      <c r="AB144" s="184" t="str">
        <f>IFERROR(ROUND($AJ$69*AA144,4),"")</f>
        <v/>
      </c>
      <c r="AC144" s="185" t="str">
        <f>IFERROR(ROUND(V144*W144*AB144/1000,1),"")</f>
        <v/>
      </c>
      <c r="AF144" s="30"/>
      <c r="AG144" s="30"/>
      <c r="AH144" s="30"/>
      <c r="AI144" s="30"/>
      <c r="AJ144" s="30"/>
      <c r="AK144" s="30"/>
      <c r="AL144" s="30"/>
      <c r="AM144" s="30"/>
      <c r="AN144" s="30"/>
      <c r="AO144" s="30"/>
      <c r="AP144" s="30"/>
    </row>
    <row r="145" spans="16:42" ht="15" customHeight="1" thickBot="1">
      <c r="P145" s="424"/>
      <c r="Q145" s="380"/>
      <c r="R145" s="381"/>
      <c r="S145" s="382"/>
      <c r="T145" s="342"/>
      <c r="U145" s="343"/>
      <c r="V145" s="344"/>
      <c r="W145" s="344"/>
      <c r="X145" s="345" t="str">
        <f t="shared" si="22"/>
        <v/>
      </c>
      <c r="Y145" s="30"/>
      <c r="Z145" s="159">
        <f t="shared" si="23"/>
        <v>500</v>
      </c>
      <c r="AA145" s="160" t="str">
        <f t="shared" ref="AA145:AA149" si="24">IFERROR(ROUND(EXP(2.71-0.812*LN(U145)-0.654*LN(Z145)),4),"")</f>
        <v/>
      </c>
      <c r="AB145" s="161" t="str">
        <f t="shared" si="20"/>
        <v/>
      </c>
      <c r="AC145" s="162" t="str">
        <f t="shared" ref="AC145:AC149" si="25">IFERROR(ROUND(V145*W145*AB145/1000,1),"")</f>
        <v/>
      </c>
      <c r="AF145" s="30"/>
      <c r="AG145" s="30"/>
      <c r="AH145" s="30"/>
      <c r="AI145" s="30"/>
      <c r="AJ145" s="30"/>
      <c r="AK145" s="30"/>
      <c r="AL145" s="30"/>
      <c r="AM145" s="30"/>
      <c r="AN145" s="30"/>
      <c r="AO145" s="30"/>
      <c r="AP145" s="30"/>
    </row>
    <row r="146" spans="16:42" ht="15" customHeight="1" thickBot="1">
      <c r="P146" s="424"/>
      <c r="Q146" s="380"/>
      <c r="R146" s="420"/>
      <c r="S146" s="382"/>
      <c r="T146" s="342"/>
      <c r="U146" s="343"/>
      <c r="V146" s="344"/>
      <c r="W146" s="344"/>
      <c r="X146" s="345" t="str">
        <f t="shared" si="22"/>
        <v/>
      </c>
      <c r="Y146" s="30"/>
      <c r="Z146" s="159">
        <f t="shared" si="23"/>
        <v>500</v>
      </c>
      <c r="AA146" s="160" t="str">
        <f t="shared" si="24"/>
        <v/>
      </c>
      <c r="AB146" s="161" t="str">
        <f t="shared" si="20"/>
        <v/>
      </c>
      <c r="AC146" s="162" t="str">
        <f t="shared" si="25"/>
        <v/>
      </c>
      <c r="AF146" s="30"/>
      <c r="AG146" s="30"/>
      <c r="AH146" s="30"/>
      <c r="AI146" s="30"/>
      <c r="AJ146" s="30"/>
      <c r="AK146" s="30"/>
      <c r="AL146" s="30"/>
      <c r="AM146" s="30"/>
      <c r="AN146" s="30"/>
      <c r="AO146" s="30"/>
      <c r="AP146" s="30"/>
    </row>
    <row r="147" spans="16:42" ht="15" customHeight="1" thickBot="1">
      <c r="P147" s="424"/>
      <c r="Q147" s="380"/>
      <c r="R147" s="420"/>
      <c r="S147" s="382"/>
      <c r="T147" s="342"/>
      <c r="U147" s="343"/>
      <c r="V147" s="344"/>
      <c r="W147" s="344"/>
      <c r="X147" s="345" t="str">
        <f t="shared" si="22"/>
        <v/>
      </c>
      <c r="Y147" s="30"/>
      <c r="Z147" s="159">
        <f t="shared" si="23"/>
        <v>500</v>
      </c>
      <c r="AA147" s="160" t="str">
        <f t="shared" si="24"/>
        <v/>
      </c>
      <c r="AB147" s="161" t="str">
        <f t="shared" si="20"/>
        <v/>
      </c>
      <c r="AC147" s="162" t="str">
        <f t="shared" si="25"/>
        <v/>
      </c>
      <c r="AF147" s="30"/>
      <c r="AG147" s="30"/>
      <c r="AH147" s="30"/>
      <c r="AI147" s="30"/>
      <c r="AJ147" s="30"/>
      <c r="AK147" s="30"/>
      <c r="AL147" s="30"/>
      <c r="AM147" s="30"/>
      <c r="AN147" s="30"/>
      <c r="AO147" s="30"/>
      <c r="AP147" s="30"/>
    </row>
    <row r="148" spans="16:42" ht="15" customHeight="1" thickBot="1">
      <c r="P148" s="424"/>
      <c r="Q148" s="380"/>
      <c r="R148" s="381"/>
      <c r="S148" s="382"/>
      <c r="T148" s="342"/>
      <c r="U148" s="343"/>
      <c r="V148" s="344"/>
      <c r="W148" s="344"/>
      <c r="X148" s="345" t="str">
        <f t="shared" si="22"/>
        <v/>
      </c>
      <c r="Y148" s="30"/>
      <c r="Z148" s="159">
        <f t="shared" si="23"/>
        <v>500</v>
      </c>
      <c r="AA148" s="160" t="str">
        <f t="shared" si="24"/>
        <v/>
      </c>
      <c r="AB148" s="161" t="str">
        <f t="shared" si="20"/>
        <v/>
      </c>
      <c r="AC148" s="162" t="str">
        <f t="shared" si="25"/>
        <v/>
      </c>
      <c r="AF148" s="87"/>
      <c r="AG148" s="89"/>
      <c r="AH148" s="89"/>
      <c r="AI148" s="87"/>
      <c r="AJ148" s="87"/>
    </row>
    <row r="149" spans="16:42" ht="15" customHeight="1" thickBot="1">
      <c r="P149" s="424"/>
      <c r="Q149" s="388"/>
      <c r="R149" s="389"/>
      <c r="S149" s="390"/>
      <c r="T149" s="352"/>
      <c r="U149" s="353"/>
      <c r="V149" s="354"/>
      <c r="W149" s="354"/>
      <c r="X149" s="346" t="str">
        <f t="shared" si="22"/>
        <v/>
      </c>
      <c r="Y149" s="30"/>
      <c r="Z149" s="159">
        <f t="shared" si="23"/>
        <v>500</v>
      </c>
      <c r="AA149" s="160" t="str">
        <f t="shared" si="24"/>
        <v/>
      </c>
      <c r="AB149" s="161" t="str">
        <f t="shared" si="20"/>
        <v/>
      </c>
      <c r="AC149" s="162" t="str">
        <f t="shared" si="25"/>
        <v/>
      </c>
      <c r="AF149" s="87"/>
      <c r="AG149" s="89"/>
      <c r="AH149" s="89"/>
      <c r="AI149" s="87"/>
      <c r="AJ149" s="87"/>
    </row>
    <row r="150" spans="16:42" ht="15" customHeight="1" thickBot="1">
      <c r="P150" s="442"/>
      <c r="Q150" s="380"/>
      <c r="R150" s="383" t="s">
        <v>178</v>
      </c>
      <c r="S150" s="382"/>
      <c r="T150" s="341"/>
      <c r="U150" s="341"/>
      <c r="V150" s="341"/>
      <c r="W150" s="355" t="s">
        <v>182</v>
      </c>
      <c r="X150" s="350">
        <f>ROUND(SUM(X144:X149),0)</f>
        <v>0</v>
      </c>
      <c r="Y150" s="30"/>
      <c r="Z150" s="179"/>
      <c r="AA150" s="180"/>
      <c r="AB150" s="181"/>
      <c r="AC150" s="163">
        <f>SUM(AC144:AC149)</f>
        <v>0</v>
      </c>
      <c r="AF150" s="87"/>
      <c r="AG150" s="89"/>
      <c r="AH150" s="89"/>
      <c r="AI150" s="87"/>
      <c r="AJ150" s="87"/>
    </row>
    <row r="151" spans="16:42" ht="15" customHeight="1">
      <c r="P151" s="3"/>
      <c r="Q151" s="34"/>
      <c r="R151" s="30"/>
      <c r="S151" s="30"/>
      <c r="T151" s="30"/>
      <c r="U151" s="30"/>
      <c r="V151" s="30"/>
      <c r="W151" s="30"/>
      <c r="X151" s="30"/>
      <c r="Y151" s="30"/>
      <c r="Z151" s="30"/>
      <c r="AA151" s="30"/>
      <c r="AB151" s="30"/>
      <c r="AC151" s="30"/>
      <c r="AD151" s="32"/>
      <c r="AE151" s="35"/>
      <c r="AF151" s="35"/>
      <c r="AG151" s="30"/>
      <c r="AH151" s="30"/>
    </row>
    <row r="152" spans="16:42" ht="17.25">
      <c r="P152" s="45" t="s">
        <v>302</v>
      </c>
      <c r="Q152" s="34"/>
      <c r="R152" s="30"/>
      <c r="S152" s="30"/>
      <c r="T152" s="30"/>
      <c r="U152" s="30"/>
      <c r="V152" s="30"/>
      <c r="W152" s="30"/>
      <c r="X152" s="30"/>
      <c r="Y152" s="30"/>
      <c r="Z152" s="30"/>
      <c r="AA152" s="30"/>
      <c r="AB152" s="30"/>
      <c r="AC152" s="30"/>
      <c r="AD152" s="32"/>
      <c r="AE152" s="35"/>
      <c r="AF152" s="35"/>
      <c r="AG152" s="30"/>
      <c r="AH152" s="30"/>
    </row>
    <row r="153" spans="16:42" ht="9" customHeight="1">
      <c r="P153" s="45"/>
    </row>
    <row r="154" spans="16:42" ht="44.25" customHeight="1">
      <c r="P154" s="481" t="s">
        <v>267</v>
      </c>
      <c r="Q154" s="481"/>
      <c r="R154" s="481"/>
      <c r="S154" s="479"/>
      <c r="T154" s="480"/>
      <c r="U154" s="3"/>
    </row>
    <row r="156" spans="16:42" ht="14.25">
      <c r="P156" s="46" t="s">
        <v>7</v>
      </c>
    </row>
  </sheetData>
  <sheetProtection algorithmName="SHA-512" hashValue="IDnpiaFXHjq0rQNJjI+O5ySJWFwFcLoguXuqODF6epoplIsIikyCLvD3k85JyzMRD7nVQ6Vwws++6iQre0obwg==" saltValue="53AHSgredh98ep/uvp/U5A==" spinCount="100000" sheet="1" objects="1" scenarios="1"/>
  <protectedRanges>
    <protectedRange sqref="Q64:W69 Q71:W76 Q100:X105 Q107:X112 Q125:X129 Q137:W142 Q144:W149 S154:T154" name="入力２"/>
    <protectedRange sqref="C34:G39 C45:I54 C7:F12" name="素材入力"/>
  </protectedRanges>
  <mergeCells count="99">
    <mergeCell ref="S154:T154"/>
    <mergeCell ref="P154:R154"/>
    <mergeCell ref="D38:E38"/>
    <mergeCell ref="D39:E39"/>
    <mergeCell ref="D40:E40"/>
    <mergeCell ref="D56:G56"/>
    <mergeCell ref="P62:P63"/>
    <mergeCell ref="Q62:Q63"/>
    <mergeCell ref="R62:R63"/>
    <mergeCell ref="T84:V84"/>
    <mergeCell ref="T85:V85"/>
    <mergeCell ref="T86:V86"/>
    <mergeCell ref="T90:V90"/>
    <mergeCell ref="T91:V91"/>
    <mergeCell ref="T92:V92"/>
    <mergeCell ref="T88:V88"/>
    <mergeCell ref="D33:E33"/>
    <mergeCell ref="D34:E34"/>
    <mergeCell ref="D35:E35"/>
    <mergeCell ref="D36:E36"/>
    <mergeCell ref="D37:E37"/>
    <mergeCell ref="D6:E6"/>
    <mergeCell ref="D7:E7"/>
    <mergeCell ref="D8:E8"/>
    <mergeCell ref="D29:G29"/>
    <mergeCell ref="D12:E12"/>
    <mergeCell ref="D13:E13"/>
    <mergeCell ref="D9:E9"/>
    <mergeCell ref="D10:E10"/>
    <mergeCell ref="D11:E11"/>
    <mergeCell ref="V62:W62"/>
    <mergeCell ref="S62:S63"/>
    <mergeCell ref="T62:U62"/>
    <mergeCell ref="P98:P99"/>
    <mergeCell ref="Q98:Q99"/>
    <mergeCell ref="R98:R99"/>
    <mergeCell ref="P80:P81"/>
    <mergeCell ref="Q80:Q81"/>
    <mergeCell ref="R80:R81"/>
    <mergeCell ref="P82:P88"/>
    <mergeCell ref="P89:P95"/>
    <mergeCell ref="S80:S81"/>
    <mergeCell ref="T80:V81"/>
    <mergeCell ref="T83:V83"/>
    <mergeCell ref="T87:V87"/>
    <mergeCell ref="T82:V82"/>
    <mergeCell ref="AF62:AF63"/>
    <mergeCell ref="P64:P70"/>
    <mergeCell ref="P71:P77"/>
    <mergeCell ref="P125:P131"/>
    <mergeCell ref="P118:P124"/>
    <mergeCell ref="T122:V122"/>
    <mergeCell ref="T123:V123"/>
    <mergeCell ref="T124:V124"/>
    <mergeCell ref="P116:P117"/>
    <mergeCell ref="Q116:Q117"/>
    <mergeCell ref="R116:R117"/>
    <mergeCell ref="P100:P106"/>
    <mergeCell ref="P107:P113"/>
    <mergeCell ref="T100:V100"/>
    <mergeCell ref="T102:V102"/>
    <mergeCell ref="S98:S99"/>
    <mergeCell ref="T89:V89"/>
    <mergeCell ref="T93:V93"/>
    <mergeCell ref="T94:V94"/>
    <mergeCell ref="T95:V95"/>
    <mergeCell ref="T104:V104"/>
    <mergeCell ref="T105:V105"/>
    <mergeCell ref="T98:V99"/>
    <mergeCell ref="T103:V103"/>
    <mergeCell ref="T106:V106"/>
    <mergeCell ref="T107:V107"/>
    <mergeCell ref="T108:V108"/>
    <mergeCell ref="T109:V109"/>
    <mergeCell ref="T110:V110"/>
    <mergeCell ref="T111:V111"/>
    <mergeCell ref="T112:V112"/>
    <mergeCell ref="T113:V113"/>
    <mergeCell ref="T116:V117"/>
    <mergeCell ref="T118:V118"/>
    <mergeCell ref="P144:P150"/>
    <mergeCell ref="T130:V130"/>
    <mergeCell ref="T131:V131"/>
    <mergeCell ref="P135:P136"/>
    <mergeCell ref="Q135:Q136"/>
    <mergeCell ref="R135:R136"/>
    <mergeCell ref="S135:S136"/>
    <mergeCell ref="T135:U135"/>
    <mergeCell ref="V135:W135"/>
    <mergeCell ref="S116:S117"/>
    <mergeCell ref="T127:V127"/>
    <mergeCell ref="T128:V128"/>
    <mergeCell ref="T129:V129"/>
    <mergeCell ref="P137:P143"/>
    <mergeCell ref="T119:V119"/>
    <mergeCell ref="T120:V120"/>
    <mergeCell ref="T121:V121"/>
    <mergeCell ref="T125:V125"/>
    <mergeCell ref="T126:V126"/>
  </mergeCells>
  <phoneticPr fontId="2"/>
  <dataValidations count="4">
    <dataValidation type="list" allowBlank="1" showInputMessage="1" showErrorMessage="1" sqref="H45:H54" xr:uid="{F8C7C340-CAE6-4F3B-A87F-6537F26F52DC}">
      <formula1>$M$54:$M$55</formula1>
    </dataValidation>
    <dataValidation type="list" allowBlank="1" showInputMessage="1" showErrorMessage="1" sqref="H18:H27" xr:uid="{488E111D-F491-4396-8341-DB3550544919}">
      <formula1>$AF$94:$AF$95</formula1>
    </dataValidation>
    <dataValidation type="list" allowBlank="1" showInputMessage="1" showErrorMessage="1" prompt="樹脂を選択" sqref="D34:E39" xr:uid="{0982320B-85CF-49FB-AB30-6B4969524E10}">
      <formula1>バイオ素材名</formula1>
    </dataValidation>
    <dataValidation type="list" allowBlank="1" showInputMessage="1" showErrorMessage="1" prompt="樹脂を選択" sqref="D7:E12" xr:uid="{08281CE5-A143-4EC2-891C-FA7AF01BF871}">
      <formula1>石油素材</formula1>
    </dataValidation>
  </dataValidations>
  <pageMargins left="0.51181102362204722" right="0" top="0.55118110236220474" bottom="0.35433070866141736" header="0.31496062992125984" footer="0.31496062992125984"/>
  <pageSetup paperSize="9" scale="75" orientation="portrait" r:id="rId1"/>
  <headerFooter>
    <oddFooter>&amp;RR4（補正）バイオ</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入出力データ!$B$10:$B$22</xm:f>
          </x14:formula1>
          <xm:sqref>T125:V126 T107:V112 T118:V119 T100:V105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election activeCell="J3" sqref="J3"/>
    </sheetView>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c r="G1" s="3"/>
    </row>
    <row r="2" spans="2:12" ht="27.75" customHeight="1">
      <c r="G2" s="3"/>
      <c r="H2" s="610" t="s">
        <v>324</v>
      </c>
      <c r="I2" s="611"/>
      <c r="J2" s="612"/>
      <c r="K2" s="612"/>
      <c r="L2" s="613"/>
    </row>
    <row r="3" spans="2:12" ht="57" customHeight="1">
      <c r="B3" s="373" t="s">
        <v>243</v>
      </c>
    </row>
    <row r="4" spans="2:12" ht="57" customHeight="1">
      <c r="B4" s="45" t="s">
        <v>11</v>
      </c>
      <c r="C4" s="45" t="s">
        <v>236</v>
      </c>
    </row>
    <row r="5" spans="2:12" ht="57" customHeight="1" thickBot="1">
      <c r="C5" s="500" t="s">
        <v>299</v>
      </c>
      <c r="D5" s="501"/>
      <c r="E5" s="500" t="s">
        <v>317</v>
      </c>
      <c r="F5" s="502"/>
    </row>
    <row r="6" spans="2:12" ht="39.950000000000003" customHeight="1" thickTop="1">
      <c r="C6" s="505">
        <f>入力シート!D34</f>
        <v>0</v>
      </c>
      <c r="D6" s="505"/>
      <c r="E6" s="508">
        <f>入力シート!F34</f>
        <v>0</v>
      </c>
      <c r="F6" s="509"/>
    </row>
    <row r="7" spans="2:12" ht="39.950000000000003" customHeight="1">
      <c r="C7" s="506">
        <f>入力シート!D35</f>
        <v>0</v>
      </c>
      <c r="D7" s="506"/>
      <c r="E7" s="498">
        <f>入力シート!F35</f>
        <v>0</v>
      </c>
      <c r="F7" s="499"/>
    </row>
    <row r="8" spans="2:12" ht="39.950000000000003" customHeight="1">
      <c r="C8" s="506">
        <f>入力シート!D36</f>
        <v>0</v>
      </c>
      <c r="D8" s="506"/>
      <c r="E8" s="498">
        <f>入力シート!F36</f>
        <v>0</v>
      </c>
      <c r="F8" s="499"/>
    </row>
    <row r="9" spans="2:12" ht="39.950000000000003" customHeight="1">
      <c r="C9" s="506">
        <f>入力シート!D37</f>
        <v>0</v>
      </c>
      <c r="D9" s="506"/>
      <c r="E9" s="498">
        <f>入力シート!F37</f>
        <v>0</v>
      </c>
      <c r="F9" s="499"/>
    </row>
    <row r="10" spans="2:12" ht="39.950000000000003" customHeight="1">
      <c r="C10" s="506">
        <f>入力シート!D38</f>
        <v>0</v>
      </c>
      <c r="D10" s="506"/>
      <c r="E10" s="498">
        <f>入力シート!F38</f>
        <v>0</v>
      </c>
      <c r="F10" s="499"/>
    </row>
    <row r="11" spans="2:12" ht="39.950000000000003" customHeight="1">
      <c r="C11" s="507">
        <f>入力シート!D39</f>
        <v>0</v>
      </c>
      <c r="D11" s="507"/>
      <c r="E11" s="498">
        <f>入力シート!F39</f>
        <v>0</v>
      </c>
      <c r="F11" s="499"/>
    </row>
    <row r="12" spans="2:12" ht="39.950000000000003" customHeight="1">
      <c r="C12" s="503" t="s">
        <v>9</v>
      </c>
      <c r="D12" s="504"/>
      <c r="E12" s="498">
        <f>SUM(E6:F11)</f>
        <v>0</v>
      </c>
      <c r="F12" s="499"/>
    </row>
    <row r="13" spans="2:12" ht="57" customHeight="1">
      <c r="B13" s="48"/>
    </row>
    <row r="14" spans="2:12" ht="38.25" customHeight="1">
      <c r="B14" s="45" t="s">
        <v>10</v>
      </c>
      <c r="C14" s="45" t="s">
        <v>239</v>
      </c>
    </row>
    <row r="15" spans="2:12" ht="45" customHeight="1">
      <c r="C15" s="49" t="s">
        <v>31</v>
      </c>
      <c r="D15" s="40"/>
      <c r="E15" s="40"/>
      <c r="F15" s="40"/>
      <c r="G15" s="40"/>
      <c r="H15" s="40"/>
      <c r="I15" s="40"/>
      <c r="J15" s="40"/>
      <c r="K15" s="53"/>
      <c r="L15" s="41"/>
    </row>
    <row r="16" spans="2:12" ht="50.1" customHeight="1">
      <c r="C16" s="484" t="s">
        <v>17</v>
      </c>
      <c r="D16" s="484"/>
      <c r="E16" s="47" t="s">
        <v>35</v>
      </c>
      <c r="F16" s="47" t="s">
        <v>37</v>
      </c>
      <c r="G16" s="277" t="s">
        <v>250</v>
      </c>
      <c r="H16" s="277" t="s">
        <v>248</v>
      </c>
      <c r="I16" s="277" t="s">
        <v>249</v>
      </c>
      <c r="J16" s="52" t="s">
        <v>30</v>
      </c>
      <c r="L16" s="47" t="s">
        <v>36</v>
      </c>
    </row>
    <row r="17" spans="2:27" ht="50.1" customHeight="1">
      <c r="C17" s="485" t="s">
        <v>268</v>
      </c>
      <c r="D17" s="485"/>
      <c r="E17" s="257">
        <f>入力シート!X70</f>
        <v>0</v>
      </c>
      <c r="F17" s="257">
        <f>入力シート!X106</f>
        <v>0</v>
      </c>
      <c r="G17" s="257">
        <f>入力シート!X124</f>
        <v>0</v>
      </c>
      <c r="H17" s="257">
        <f>入力シート!I13</f>
        <v>0</v>
      </c>
      <c r="I17" s="257">
        <f>入力シート!X143</f>
        <v>0</v>
      </c>
      <c r="J17" s="259">
        <f>SUM(E17:I17)</f>
        <v>0</v>
      </c>
      <c r="L17" s="50"/>
    </row>
    <row r="18" spans="2:27" ht="50.1" customHeight="1">
      <c r="C18" s="485" t="s">
        <v>269</v>
      </c>
      <c r="D18" s="485"/>
      <c r="E18" s="258">
        <f>入力シート!X77</f>
        <v>0</v>
      </c>
      <c r="F18" s="258">
        <f>入力シート!X113</f>
        <v>0</v>
      </c>
      <c r="G18" s="260">
        <f>入力シート!X131</f>
        <v>0</v>
      </c>
      <c r="H18" s="258">
        <f>入力シート!I40</f>
        <v>0</v>
      </c>
      <c r="I18" s="260">
        <f>入力シート!X150</f>
        <v>0</v>
      </c>
      <c r="J18" s="259">
        <f>SUM(E18:I18)</f>
        <v>0</v>
      </c>
      <c r="L18" s="50"/>
    </row>
    <row r="19" spans="2:27" ht="50.1" customHeight="1">
      <c r="C19" s="486" t="s">
        <v>270</v>
      </c>
      <c r="D19" s="486"/>
      <c r="E19" s="258">
        <f>E17-E18</f>
        <v>0</v>
      </c>
      <c r="F19" s="258">
        <f>F17-F18</f>
        <v>0</v>
      </c>
      <c r="G19" s="258">
        <f>G17-G18</f>
        <v>0</v>
      </c>
      <c r="H19" s="258">
        <f>H17-H18</f>
        <v>0</v>
      </c>
      <c r="I19" s="258">
        <f t="shared" ref="I19:J19" si="0">I17-I18</f>
        <v>0</v>
      </c>
      <c r="J19" s="263">
        <f t="shared" si="0"/>
        <v>0</v>
      </c>
      <c r="K19" s="51"/>
      <c r="L19" s="50"/>
    </row>
    <row r="20" spans="2:27" ht="31.7" customHeight="1"/>
    <row r="21" spans="2:27" ht="18.75" customHeight="1"/>
    <row r="22" spans="2:27" ht="30.75" customHeight="1">
      <c r="B22" s="45" t="s">
        <v>8</v>
      </c>
      <c r="C22" s="45" t="s">
        <v>301</v>
      </c>
    </row>
    <row r="23" spans="2:27" ht="47.25" customHeight="1">
      <c r="C23" s="494" t="s">
        <v>300</v>
      </c>
      <c r="D23" s="495"/>
      <c r="E23" s="496">
        <f>入力シート!S154</f>
        <v>0</v>
      </c>
      <c r="F23" s="496"/>
      <c r="G23" s="496"/>
      <c r="H23" s="493"/>
      <c r="I23" s="493"/>
      <c r="J23" s="9"/>
    </row>
    <row r="24" spans="2:27" ht="30.2" customHeight="1">
      <c r="C24" s="46"/>
      <c r="H24" s="487"/>
      <c r="I24" s="487"/>
    </row>
    <row r="25" spans="2:27" ht="30.2" customHeight="1">
      <c r="H25" s="487"/>
      <c r="I25" s="487"/>
    </row>
    <row r="26" spans="2:27" ht="30.2" customHeight="1">
      <c r="B26" s="45" t="s">
        <v>6</v>
      </c>
      <c r="C26" s="45" t="s">
        <v>5</v>
      </c>
      <c r="H26" s="487"/>
      <c r="I26" s="487"/>
    </row>
    <row r="27" spans="2:27" ht="38.25" customHeight="1">
      <c r="C27" s="46" t="s">
        <v>33</v>
      </c>
      <c r="H27" s="487"/>
      <c r="I27" s="487"/>
    </row>
    <row r="28" spans="2:27" ht="48" customHeight="1">
      <c r="C28" s="488" t="s">
        <v>4</v>
      </c>
      <c r="D28" s="489"/>
      <c r="E28" s="497">
        <f>J19</f>
        <v>0</v>
      </c>
      <c r="F28" s="497"/>
      <c r="G28" s="497"/>
      <c r="I28" s="44"/>
      <c r="Z28" s="493"/>
      <c r="AA28" s="493"/>
    </row>
    <row r="29" spans="2:27" ht="35.450000000000003" hidden="1" customHeight="1">
      <c r="D29" s="8" t="s">
        <v>3</v>
      </c>
      <c r="E29" s="372" t="e">
        <f>+#REF!</f>
        <v>#REF!</v>
      </c>
      <c r="F29" s="45"/>
      <c r="H29" s="487"/>
      <c r="I29" s="487"/>
      <c r="Y29" s="3"/>
      <c r="Z29" s="4"/>
      <c r="AA29" s="3"/>
    </row>
    <row r="30" spans="2:27" ht="33.75" customHeight="1">
      <c r="C30" s="46" t="s">
        <v>13</v>
      </c>
      <c r="E30" s="7"/>
      <c r="F30" s="45"/>
      <c r="H30" s="487"/>
      <c r="I30" s="487"/>
      <c r="Y30" s="3"/>
      <c r="Z30" s="4"/>
      <c r="AA30" s="3"/>
    </row>
    <row r="31" spans="2:27" ht="37.5" customHeight="1">
      <c r="C31" s="11" t="s">
        <v>32</v>
      </c>
      <c r="E31" s="7"/>
      <c r="F31" s="45"/>
      <c r="H31" s="487"/>
      <c r="I31" s="487"/>
      <c r="Y31" s="3"/>
      <c r="Z31" s="4"/>
      <c r="AA31" s="3"/>
    </row>
    <row r="32" spans="2:27" ht="48" customHeight="1">
      <c r="C32" s="488" t="s">
        <v>2</v>
      </c>
      <c r="D32" s="489"/>
      <c r="E32" s="491" t="str">
        <f>IF(E23=0,"",ROUNDDOWN(E23/E28/9,0))</f>
        <v/>
      </c>
      <c r="F32" s="491"/>
      <c r="G32" s="491"/>
      <c r="H32" s="487"/>
      <c r="I32" s="487"/>
      <c r="Y32" s="3"/>
      <c r="Z32" s="4"/>
      <c r="AA32" s="3"/>
    </row>
    <row r="33" spans="3:29" ht="47.25" customHeight="1">
      <c r="C33" s="490" t="s">
        <v>34</v>
      </c>
      <c r="D33" s="489"/>
      <c r="E33" s="492" t="str">
        <f>IF(E12=0,"",ROUNDDOWN(E23/E12/9,0))</f>
        <v/>
      </c>
      <c r="F33" s="492"/>
      <c r="G33" s="492"/>
      <c r="H33" s="487"/>
      <c r="I33" s="487"/>
      <c r="Y33" s="3"/>
      <c r="Z33" s="4"/>
      <c r="AA33" s="3"/>
    </row>
    <row r="34" spans="3:29" ht="15" customHeight="1">
      <c r="D34" s="6"/>
      <c r="E34" s="5"/>
    </row>
    <row r="35" spans="3:29" ht="7.5" customHeight="1">
      <c r="D35" s="6"/>
      <c r="E35" s="5"/>
    </row>
    <row r="36" spans="3:29" ht="29.25" customHeight="1"/>
    <row r="37" spans="3:29" ht="32.25" customHeight="1">
      <c r="AC37" s="10"/>
    </row>
    <row r="38" spans="3:29" ht="20.100000000000001" customHeight="1">
      <c r="AC38" s="2"/>
    </row>
    <row r="39" spans="3:29" ht="20.100000000000001" customHeight="1">
      <c r="AC39" s="2"/>
    </row>
    <row r="40" spans="3:29" ht="20.100000000000001" customHeight="1">
      <c r="AC40" s="2"/>
    </row>
    <row r="41" spans="3:29" ht="20.100000000000001" customHeight="1">
      <c r="AC41" s="2"/>
    </row>
    <row r="42" spans="3:29" ht="20.100000000000001" customHeight="1">
      <c r="AC42" s="2"/>
    </row>
    <row r="43" spans="3:29" ht="20.100000000000001" customHeight="1">
      <c r="AC43" s="2"/>
    </row>
    <row r="44" spans="3:29" ht="20.100000000000001" customHeight="1"/>
    <row r="45" spans="3:29" ht="20.100000000000001" customHeight="1"/>
    <row r="46" spans="3:29" ht="20.100000000000001" customHeight="1"/>
    <row r="47" spans="3:29" ht="20.100000000000001" customHeight="1"/>
    <row r="48" spans="3:29" ht="20.100000000000001" customHeight="1"/>
    <row r="49" spans="29:29" ht="20.100000000000001" customHeight="1"/>
    <row r="50" spans="29:29" ht="20.100000000000001" customHeight="1">
      <c r="AC50" s="12"/>
    </row>
    <row r="51" spans="29:29" ht="20.100000000000001" customHeight="1">
      <c r="AC51" s="12"/>
    </row>
    <row r="52" spans="29:29" ht="20.100000000000001" customHeight="1">
      <c r="AC52" s="12"/>
    </row>
    <row r="53" spans="29:29" ht="20.100000000000001" customHeight="1">
      <c r="AC53" s="12"/>
    </row>
    <row r="54" spans="29:29" ht="20.100000000000001" customHeight="1">
      <c r="AC54" s="12"/>
    </row>
    <row r="55" spans="29:29" ht="20.100000000000001" customHeight="1">
      <c r="AC55" s="12"/>
    </row>
    <row r="56" spans="29:29" ht="20.100000000000001" customHeight="1"/>
    <row r="57" spans="29:29" ht="20.100000000000001" customHeight="1"/>
    <row r="58" spans="29:29" ht="20.100000000000001" customHeight="1"/>
    <row r="59" spans="29:29" ht="20.100000000000001" customHeight="1"/>
    <row r="60" spans="29:29" ht="23.25" customHeight="1"/>
    <row r="61" spans="29:29" ht="23.25" customHeight="1"/>
    <row r="62" spans="29:29" ht="31.7" customHeight="1"/>
    <row r="63" spans="29:29" ht="19.5" customHeight="1"/>
    <row r="64" spans="29:29"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3:37" ht="21.2" customHeight="1"/>
    <row r="84" spans="33:37">
      <c r="AG84" s="14"/>
      <c r="AH84" s="24"/>
      <c r="AI84" s="21"/>
      <c r="AJ84" s="21"/>
      <c r="AK84" s="21"/>
    </row>
    <row r="85" spans="33:37" ht="24.95" customHeight="1">
      <c r="AG85" s="14"/>
      <c r="AH85" s="25"/>
      <c r="AI85" s="22" t="s">
        <v>1</v>
      </c>
      <c r="AJ85" s="21"/>
      <c r="AK85" s="21"/>
    </row>
    <row r="86" spans="33:37" ht="24.95" customHeight="1">
      <c r="AG86" s="15" t="s">
        <v>14</v>
      </c>
      <c r="AH86" s="26" t="s">
        <v>0</v>
      </c>
      <c r="AI86" s="19"/>
      <c r="AJ86" s="16"/>
      <c r="AK86" s="16"/>
    </row>
    <row r="87" spans="33:37" ht="24.95" customHeight="1">
      <c r="AG87" s="13"/>
      <c r="AH87" s="23" t="e">
        <f>#REF!</f>
        <v>#REF!</v>
      </c>
      <c r="AI87" s="20"/>
      <c r="AJ87" s="17"/>
      <c r="AK87" s="18"/>
    </row>
    <row r="88" spans="33:37" ht="24.95" customHeight="1">
      <c r="AG88" s="13"/>
      <c r="AH88" s="23" t="e">
        <f>#REF!</f>
        <v>#REF!</v>
      </c>
      <c r="AI88" s="20"/>
      <c r="AJ88" s="17"/>
      <c r="AK88" s="18"/>
    </row>
    <row r="89" spans="33:37" ht="24.95" customHeight="1">
      <c r="AG89" s="13"/>
      <c r="AH89" s="23" t="e">
        <f>#REF!</f>
        <v>#REF!</v>
      </c>
      <c r="AI89" s="20"/>
      <c r="AJ89" s="17"/>
      <c r="AK89" s="18"/>
    </row>
    <row r="90" spans="33:37" ht="24.95" customHeight="1">
      <c r="AG90" s="13"/>
      <c r="AH90" s="23" t="e">
        <f>#REF!</f>
        <v>#REF!</v>
      </c>
      <c r="AI90" s="20"/>
      <c r="AJ90" s="17"/>
      <c r="AK90" s="18"/>
    </row>
    <row r="91" spans="33:37" ht="24.95" customHeight="1">
      <c r="AG91" s="13"/>
      <c r="AH91" s="23" t="e">
        <f>#REF!</f>
        <v>#REF!</v>
      </c>
      <c r="AI91" s="20"/>
      <c r="AJ91" s="17"/>
      <c r="AK91" s="18"/>
    </row>
    <row r="92" spans="33:37" ht="24.95" customHeight="1">
      <c r="AG92" s="13"/>
      <c r="AH92" s="23" t="e">
        <f>#REF!</f>
        <v>#REF!</v>
      </c>
      <c r="AI92" s="20"/>
      <c r="AJ92" s="17"/>
      <c r="AK92" s="18"/>
    </row>
    <row r="93" spans="33:37" ht="24.95" customHeight="1">
      <c r="AG93" s="13"/>
      <c r="AH93" s="23" t="e">
        <f>#REF!</f>
        <v>#REF!</v>
      </c>
      <c r="AI93" s="20"/>
      <c r="AJ93" s="17"/>
      <c r="AK93" s="18"/>
    </row>
    <row r="94" spans="33:37" ht="24.95" customHeight="1">
      <c r="AG94" s="13"/>
      <c r="AH94" s="23" t="e">
        <f>#REF!</f>
        <v>#REF!</v>
      </c>
      <c r="AI94" s="20"/>
      <c r="AJ94" s="17"/>
      <c r="AK94" s="18"/>
    </row>
    <row r="95" spans="33:37" ht="24.95" customHeight="1">
      <c r="AG95" s="13"/>
      <c r="AH95" s="23" t="e">
        <f>#REF!</f>
        <v>#REF!</v>
      </c>
      <c r="AI95" s="20"/>
      <c r="AJ95" s="17"/>
      <c r="AK95" s="18"/>
    </row>
    <row r="96" spans="33:37" ht="24.95" customHeight="1">
      <c r="AG96" s="13"/>
      <c r="AH96" s="23" t="e">
        <f>#REF!</f>
        <v>#REF!</v>
      </c>
      <c r="AI96" s="20"/>
      <c r="AJ96" s="17"/>
      <c r="AK96" s="18"/>
    </row>
    <row r="97" spans="33:37" ht="24.95" customHeight="1">
      <c r="AG97" s="13"/>
      <c r="AH97" s="23" t="e">
        <f>#REF!</f>
        <v>#REF!</v>
      </c>
      <c r="AI97" s="20"/>
      <c r="AJ97" s="17"/>
      <c r="AK97" s="18"/>
    </row>
    <row r="98" spans="33:37" ht="24.95" customHeight="1">
      <c r="AG98" s="13"/>
      <c r="AH98" s="23" t="e">
        <f>#REF!</f>
        <v>#REF!</v>
      </c>
      <c r="AI98" s="20"/>
      <c r="AJ98" s="17"/>
      <c r="AK98" s="18"/>
    </row>
    <row r="99" spans="33:37" ht="24.95" customHeight="1">
      <c r="AG99" s="13"/>
      <c r="AH99" s="28" t="e">
        <f>#REF!</f>
        <v>#REF!</v>
      </c>
      <c r="AI99" s="27"/>
      <c r="AJ99" s="17"/>
      <c r="AK99" s="18"/>
    </row>
    <row r="100" spans="33:37" ht="24" customHeight="1">
      <c r="AG100" s="13"/>
      <c r="AH100" s="28" t="e">
        <f>#REF!</f>
        <v>#REF!</v>
      </c>
    </row>
    <row r="101" spans="33:37">
      <c r="AG101" s="13"/>
      <c r="AH101" s="28" t="e">
        <f>#REF!</f>
        <v>#REF!</v>
      </c>
    </row>
    <row r="102" spans="33:37">
      <c r="AH102" s="28" t="e">
        <f>#REF!</f>
        <v>#REF!</v>
      </c>
    </row>
    <row r="103" spans="33:37">
      <c r="AH103" s="28" t="e">
        <f>#REF!</f>
        <v>#REF!</v>
      </c>
    </row>
  </sheetData>
  <sheetProtection algorithmName="SHA-512" hashValue="eTPPjdypZ/F0hVVOoXG8G6AuJc2iQ44MkQ+XW9y5vxrL5MQLU+GF1CrS5GtGFRccGqcjMZ/ZyNzOwORNtAqbxQ==" saltValue="J8reEFm3Vo9uIhbjuhHVVg==" spinCount="100000" sheet="1" objects="1" scenarios="1"/>
  <protectedRanges>
    <protectedRange sqref="L17:L18" name="製品製造"/>
  </protectedRanges>
  <mergeCells count="40">
    <mergeCell ref="I2:L2"/>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 ref="E11:F11"/>
    <mergeCell ref="Z28:AA28"/>
    <mergeCell ref="C23:D23"/>
    <mergeCell ref="H23:I23"/>
    <mergeCell ref="H24:I24"/>
    <mergeCell ref="H25:I25"/>
    <mergeCell ref="H26:I26"/>
    <mergeCell ref="H27:I27"/>
    <mergeCell ref="C28:D28"/>
    <mergeCell ref="E23:G23"/>
    <mergeCell ref="E28:G28"/>
    <mergeCell ref="C16:D16"/>
    <mergeCell ref="C17:D17"/>
    <mergeCell ref="C18:D18"/>
    <mergeCell ref="C19:D19"/>
    <mergeCell ref="H33:I33"/>
    <mergeCell ref="H29:I29"/>
    <mergeCell ref="H30:I30"/>
    <mergeCell ref="H31:I31"/>
    <mergeCell ref="H32:I32"/>
    <mergeCell ref="C32:D32"/>
    <mergeCell ref="C33:D33"/>
    <mergeCell ref="E32:G32"/>
    <mergeCell ref="E33:G33"/>
  </mergeCells>
  <phoneticPr fontId="2"/>
  <dataValidations disablePrompts="1"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59" orientation="portrait" r:id="rId1"/>
  <headerFooter>
    <oddFooter>&amp;R&amp;14R4(補正）バイオ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30"/>
    <col min="2" max="2" width="3.875" style="30" customWidth="1"/>
    <col min="3" max="3" width="24.5" style="30" customWidth="1"/>
    <col min="4" max="4" width="4.25" style="30" customWidth="1"/>
    <col min="5" max="5" width="11.875" style="30" customWidth="1"/>
    <col min="6" max="6" width="13" style="30" customWidth="1"/>
    <col min="7" max="7" width="11.375" style="30" customWidth="1"/>
    <col min="8" max="8" width="8.25" style="30" customWidth="1"/>
    <col min="9" max="9" width="9.625" style="30" customWidth="1"/>
    <col min="10" max="11" width="10.5" style="30" customWidth="1"/>
    <col min="12" max="12" width="7.375" style="30" customWidth="1"/>
    <col min="13" max="13" width="4.125" style="32" customWidth="1"/>
    <col min="14" max="16384" width="9" style="30"/>
  </cols>
  <sheetData>
    <row r="1" spans="2:16" ht="18.75">
      <c r="B1" s="236" t="s">
        <v>242</v>
      </c>
      <c r="K1" s="31">
        <v>0.441</v>
      </c>
      <c r="L1" s="31"/>
      <c r="N1" s="33"/>
      <c r="O1" s="34"/>
    </row>
    <row r="2" spans="2:16">
      <c r="N2" s="35"/>
      <c r="O2" s="35"/>
    </row>
    <row r="3" spans="2:16" hidden="1">
      <c r="C3" s="207" t="s">
        <v>205</v>
      </c>
      <c r="E3" s="439" t="s">
        <v>246</v>
      </c>
      <c r="F3" s="513"/>
      <c r="G3" s="513"/>
      <c r="H3" s="513"/>
      <c r="I3" s="513"/>
      <c r="J3" s="513"/>
      <c r="N3" s="35"/>
      <c r="O3" s="35"/>
    </row>
    <row r="4" spans="2:16" ht="40.5" hidden="1">
      <c r="B4" s="235" t="s">
        <v>203</v>
      </c>
      <c r="C4" s="514" t="s">
        <v>202</v>
      </c>
      <c r="D4" s="515"/>
      <c r="E4" s="233" t="s">
        <v>201</v>
      </c>
      <c r="F4" s="233" t="s">
        <v>200</v>
      </c>
      <c r="G4" s="233" t="s">
        <v>199</v>
      </c>
      <c r="H4" s="233" t="s">
        <v>198</v>
      </c>
      <c r="I4" s="57" t="s">
        <v>197</v>
      </c>
      <c r="J4" s="57" t="s">
        <v>196</v>
      </c>
      <c r="K4" s="233" t="s">
        <v>195</v>
      </c>
      <c r="L4" s="265"/>
      <c r="N4" s="234" t="s">
        <v>194</v>
      </c>
      <c r="P4" s="233" t="s">
        <v>193</v>
      </c>
    </row>
    <row r="5" spans="2:16" hidden="1">
      <c r="B5" s="38" t="str">
        <f>IF(入力シート!C18="","",入力シート!C18)</f>
        <v/>
      </c>
      <c r="C5" s="510" t="str">
        <f>IF(入力シート!D18="","",入力シート!D18)</f>
        <v/>
      </c>
      <c r="D5" s="511"/>
      <c r="E5" s="229" t="str">
        <f>IF(入力シート!E18="","",入力シート!E18)</f>
        <v/>
      </c>
      <c r="F5" s="229" t="str">
        <f>IF(入力シート!F18="","",入力シート!F18)</f>
        <v/>
      </c>
      <c r="G5" s="227" t="str">
        <f>IF(入力シート!G18="","",入力シート!G18)</f>
        <v/>
      </c>
      <c r="H5" s="37" t="str">
        <f>IF(入力シート!H18="","",入力シート!H18)</f>
        <v/>
      </c>
      <c r="I5" s="37" t="str">
        <f>IF(入力シート!I18="","",入力シート!I18)</f>
        <v/>
      </c>
      <c r="J5" s="226" t="str">
        <f t="shared" ref="J5:J14" si="0">IFERROR(IF(AND(I5&gt;0,I5&lt;=1),INT(N5*I5),INT(N5)),"")</f>
        <v/>
      </c>
      <c r="K5" s="218" t="str">
        <f t="shared" ref="K5:K14" si="1">IFERROR(ROUNDDOWN(J5*$K$18/1000,3),"")</f>
        <v/>
      </c>
      <c r="L5" s="266"/>
      <c r="N5" s="224" t="str">
        <f t="shared" ref="N5:N14" si="2">IFERROR(IF(H5="○",(0.0564*EXP(2.7518*F5/E5))*G5/F5,(0.4138*(F5/E5)+0.4307)*G5/F5),"")</f>
        <v/>
      </c>
      <c r="O5" s="231">
        <v>1</v>
      </c>
      <c r="P5" s="232">
        <f>SUMIF(B$5:B$15,1,K$5:K$15)</f>
        <v>0</v>
      </c>
    </row>
    <row r="6" spans="2:16" hidden="1">
      <c r="B6" s="38" t="str">
        <f>IF(入力シート!C19="","",入力シート!C19)</f>
        <v/>
      </c>
      <c r="C6" s="510" t="str">
        <f>IF(入力シート!D19="","",入力シート!D19)</f>
        <v/>
      </c>
      <c r="D6" s="511"/>
      <c r="E6" s="229" t="str">
        <f>IF(入力シート!E19="","",入力シート!E19)</f>
        <v/>
      </c>
      <c r="F6" s="229" t="str">
        <f>IF(入力シート!F19="","",入力シート!F19)</f>
        <v/>
      </c>
      <c r="G6" s="227" t="str">
        <f>IF(入力シート!G19="","",入力シート!G19)</f>
        <v/>
      </c>
      <c r="H6" s="37" t="str">
        <f>IF(入力シート!H19="","",入力シート!H19)</f>
        <v/>
      </c>
      <c r="I6" s="37" t="str">
        <f>IF(入力シート!I19="","",入力シート!I19)</f>
        <v/>
      </c>
      <c r="J6" s="226" t="str">
        <f t="shared" si="0"/>
        <v/>
      </c>
      <c r="K6" s="218" t="str">
        <f t="shared" si="1"/>
        <v/>
      </c>
      <c r="L6" s="266"/>
      <c r="N6" s="224" t="str">
        <f t="shared" si="2"/>
        <v/>
      </c>
      <c r="O6" s="231">
        <v>2</v>
      </c>
      <c r="P6" s="230">
        <f>SUMIF(B$22:B$31,2,K$22:K$31)</f>
        <v>0</v>
      </c>
    </row>
    <row r="7" spans="2:16" hidden="1">
      <c r="B7" s="38" t="str">
        <f>IF(入力シート!C20="","",入力シート!C20)</f>
        <v/>
      </c>
      <c r="C7" s="510" t="str">
        <f>IF(入力シート!D20="","",入力シート!D20)</f>
        <v/>
      </c>
      <c r="D7" s="511"/>
      <c r="E7" s="229" t="str">
        <f>IF(入力シート!E20="","",入力シート!E20)</f>
        <v/>
      </c>
      <c r="F7" s="229" t="str">
        <f>IF(入力シート!F20="","",入力シート!F20)</f>
        <v/>
      </c>
      <c r="G7" s="227" t="str">
        <f>IF(入力シート!G20="","",入力シート!G20)</f>
        <v/>
      </c>
      <c r="H7" s="37" t="str">
        <f>IF(入力シート!H20="","",入力シート!H20)</f>
        <v/>
      </c>
      <c r="I7" s="37" t="str">
        <f>IF(入力シート!I20="","",入力シート!I20)</f>
        <v/>
      </c>
      <c r="J7" s="226" t="str">
        <f t="shared" si="0"/>
        <v/>
      </c>
      <c r="K7" s="218" t="str">
        <f t="shared" si="1"/>
        <v/>
      </c>
      <c r="L7" s="266"/>
      <c r="N7" s="224" t="str">
        <f t="shared" si="2"/>
        <v/>
      </c>
      <c r="O7" s="231">
        <v>3</v>
      </c>
      <c r="P7" s="230">
        <f>SUMIF(B$22:B$31,3,K$22:K$31)</f>
        <v>0</v>
      </c>
    </row>
    <row r="8" spans="2:16" hidden="1">
      <c r="B8" s="38" t="str">
        <f>IF(入力シート!C21="","",入力シート!C21)</f>
        <v/>
      </c>
      <c r="C8" s="510" t="str">
        <f>IF(入力シート!D21="","",入力シート!D21)</f>
        <v/>
      </c>
      <c r="D8" s="511"/>
      <c r="E8" s="229" t="str">
        <f>IF(入力シート!E21="","",入力シート!E21)</f>
        <v/>
      </c>
      <c r="F8" s="229" t="str">
        <f>IF(入力シート!F21="","",入力シート!F21)</f>
        <v/>
      </c>
      <c r="G8" s="227" t="str">
        <f>IF(入力シート!G21="","",入力シート!G21)</f>
        <v/>
      </c>
      <c r="H8" s="37" t="str">
        <f>IF(入力シート!H21="","",入力シート!H21)</f>
        <v/>
      </c>
      <c r="I8" s="37" t="str">
        <f>IF(入力シート!I21="","",入力シート!I21)</f>
        <v/>
      </c>
      <c r="J8" s="226" t="str">
        <f t="shared" si="0"/>
        <v/>
      </c>
      <c r="K8" s="218" t="str">
        <f t="shared" si="1"/>
        <v/>
      </c>
      <c r="L8" s="266"/>
      <c r="N8" s="224" t="str">
        <f t="shared" si="2"/>
        <v/>
      </c>
      <c r="O8" s="231">
        <v>4</v>
      </c>
      <c r="P8" s="230">
        <f>SUMIF(B$22:B$31,4,K$22:K$31)</f>
        <v>0</v>
      </c>
    </row>
    <row r="9" spans="2:16" hidden="1">
      <c r="B9" s="38" t="str">
        <f>IF(入力シート!C22="","",入力シート!C22)</f>
        <v/>
      </c>
      <c r="C9" s="510" t="str">
        <f>IF(入力シート!D22="","",入力シート!D22)</f>
        <v/>
      </c>
      <c r="D9" s="511"/>
      <c r="E9" s="229" t="str">
        <f>IF(入力シート!E22="","",入力シート!E22)</f>
        <v/>
      </c>
      <c r="F9" s="229" t="str">
        <f>IF(入力シート!F22="","",入力シート!F22)</f>
        <v/>
      </c>
      <c r="G9" s="227" t="str">
        <f>IF(入力シート!G22="","",入力シート!G22)</f>
        <v/>
      </c>
      <c r="H9" s="37" t="str">
        <f>IF(入力シート!H22="","",入力シート!H22)</f>
        <v/>
      </c>
      <c r="I9" s="37" t="str">
        <f>IF(入力シート!I22="","",入力シート!I22)</f>
        <v/>
      </c>
      <c r="J9" s="226" t="str">
        <f t="shared" si="0"/>
        <v/>
      </c>
      <c r="K9" s="218" t="str">
        <f t="shared" si="1"/>
        <v/>
      </c>
      <c r="L9" s="266"/>
      <c r="N9" s="224" t="str">
        <f t="shared" si="2"/>
        <v/>
      </c>
      <c r="O9" s="231">
        <v>5</v>
      </c>
      <c r="P9" s="230">
        <f>SUMIF(B$22:B$31,5,K$22:K$31)</f>
        <v>0</v>
      </c>
    </row>
    <row r="10" spans="2:16" hidden="1">
      <c r="B10" s="38" t="str">
        <f>IF(入力シート!C23="","",入力シート!C23)</f>
        <v/>
      </c>
      <c r="C10" s="510" t="str">
        <f>IF(入力シート!D23="","",入力シート!D23)</f>
        <v/>
      </c>
      <c r="D10" s="511"/>
      <c r="E10" s="229" t="str">
        <f>IF(入力シート!E23="","",入力シート!E23)</f>
        <v/>
      </c>
      <c r="F10" s="229" t="str">
        <f>IF(入力シート!F23="","",入力シート!F23)</f>
        <v/>
      </c>
      <c r="G10" s="227" t="str">
        <f>IF(入力シート!G23="","",入力シート!G23)</f>
        <v/>
      </c>
      <c r="H10" s="37" t="str">
        <f>IF(入力シート!H23="","",入力シート!H23)</f>
        <v/>
      </c>
      <c r="I10" s="37" t="str">
        <f>IF(入力シート!I23="","",入力シート!I23)</f>
        <v/>
      </c>
      <c r="J10" s="226" t="str">
        <f t="shared" si="0"/>
        <v/>
      </c>
      <c r="K10" s="225" t="str">
        <f t="shared" si="1"/>
        <v/>
      </c>
      <c r="L10" s="267"/>
      <c r="N10" s="224" t="str">
        <f t="shared" si="2"/>
        <v/>
      </c>
      <c r="O10" s="231">
        <v>6</v>
      </c>
      <c r="P10" s="230">
        <f>SUMIF(B$22:B$31,6,K$22:K$31)</f>
        <v>0</v>
      </c>
    </row>
    <row r="11" spans="2:16" hidden="1">
      <c r="B11" s="38" t="str">
        <f>IF(入力シート!C24="","",入力シート!C24)</f>
        <v/>
      </c>
      <c r="C11" s="510" t="str">
        <f>IF(入力シート!D24="","",入力シート!D24)</f>
        <v/>
      </c>
      <c r="D11" s="511"/>
      <c r="E11" s="229" t="str">
        <f>IF(入力シート!E24="","",入力シート!E24)</f>
        <v/>
      </c>
      <c r="F11" s="229" t="str">
        <f>IF(入力シート!F24="","",入力シート!F24)</f>
        <v/>
      </c>
      <c r="G11" s="227" t="str">
        <f>IF(入力シート!G24="","",入力シート!G24)</f>
        <v/>
      </c>
      <c r="H11" s="37" t="str">
        <f>IF(入力シート!H24="","",入力シート!H24)</f>
        <v/>
      </c>
      <c r="I11" s="37" t="str">
        <f>IF(入力シート!I24="","",入力シート!I24)</f>
        <v/>
      </c>
      <c r="J11" s="226" t="str">
        <f t="shared" si="0"/>
        <v/>
      </c>
      <c r="K11" s="225" t="str">
        <f t="shared" si="1"/>
        <v/>
      </c>
      <c r="L11" s="267"/>
      <c r="N11" s="224" t="str">
        <f t="shared" si="2"/>
        <v/>
      </c>
    </row>
    <row r="12" spans="2:16" hidden="1">
      <c r="B12" s="38" t="str">
        <f>IF(入力シート!C25="","",入力シート!C25)</f>
        <v/>
      </c>
      <c r="C12" s="510" t="str">
        <f>IF(入力シート!D25="","",入力シート!D25)</f>
        <v/>
      </c>
      <c r="D12" s="511"/>
      <c r="E12" s="229" t="str">
        <f>IF(入力シート!E25="","",入力シート!E25)</f>
        <v/>
      </c>
      <c r="F12" s="229" t="str">
        <f>IF(入力シート!F25="","",入力シート!F25)</f>
        <v/>
      </c>
      <c r="G12" s="227" t="str">
        <f>IF(入力シート!G25="","",入力シート!G25)</f>
        <v/>
      </c>
      <c r="H12" s="37" t="str">
        <f>IF(入力シート!H25="","",入力シート!H25)</f>
        <v/>
      </c>
      <c r="I12" s="37" t="str">
        <f>IF(入力シート!I25="","",入力シート!I25)</f>
        <v/>
      </c>
      <c r="J12" s="226" t="str">
        <f t="shared" si="0"/>
        <v/>
      </c>
      <c r="K12" s="225" t="str">
        <f t="shared" si="1"/>
        <v/>
      </c>
      <c r="L12" s="267"/>
      <c r="N12" s="224" t="str">
        <f t="shared" si="2"/>
        <v/>
      </c>
    </row>
    <row r="13" spans="2:16" hidden="1">
      <c r="B13" s="38" t="str">
        <f>IF(入力シート!C26="","",入力シート!C26)</f>
        <v/>
      </c>
      <c r="C13" s="510" t="str">
        <f>IF(入力シート!D26="","",入力シート!D26)</f>
        <v/>
      </c>
      <c r="D13" s="511"/>
      <c r="E13" s="229" t="str">
        <f>IF(入力シート!E26="","",入力シート!E26)</f>
        <v/>
      </c>
      <c r="F13" s="229" t="str">
        <f>IF(入力シート!F26="","",入力シート!F26)</f>
        <v/>
      </c>
      <c r="G13" s="227" t="str">
        <f>IF(入力シート!G26="","",入力シート!G26)</f>
        <v/>
      </c>
      <c r="H13" s="37" t="str">
        <f>IF(入力シート!H26="","",入力シート!H26)</f>
        <v/>
      </c>
      <c r="I13" s="37" t="str">
        <f>IF(入力シート!I26="","",入力シート!I26)</f>
        <v/>
      </c>
      <c r="J13" s="226" t="str">
        <f t="shared" si="0"/>
        <v/>
      </c>
      <c r="K13" s="225" t="str">
        <f t="shared" si="1"/>
        <v/>
      </c>
      <c r="L13" s="267"/>
      <c r="N13" s="224" t="str">
        <f t="shared" si="2"/>
        <v/>
      </c>
    </row>
    <row r="14" spans="2:16" hidden="1">
      <c r="B14" s="38" t="str">
        <f>IF(入力シート!C27="","",入力シート!C27)</f>
        <v/>
      </c>
      <c r="C14" s="510" t="str">
        <f>IF(入力シート!D27="","",入力シート!D27)</f>
        <v/>
      </c>
      <c r="D14" s="511"/>
      <c r="E14" s="229" t="str">
        <f>IF(入力シート!E27="","",入力シート!E27)</f>
        <v/>
      </c>
      <c r="F14" s="229" t="str">
        <f>IF(入力シート!F27="","",入力シート!F27)</f>
        <v/>
      </c>
      <c r="G14" s="227" t="str">
        <f>IF(入力シート!G27="","",入力シート!G27)</f>
        <v/>
      </c>
      <c r="H14" s="37" t="str">
        <f>IF(入力シート!H27="","",入力シート!H27)</f>
        <v/>
      </c>
      <c r="I14" s="37" t="str">
        <f>IF(入力シート!I27="","",入力シート!I27)</f>
        <v/>
      </c>
      <c r="J14" s="226" t="str">
        <f t="shared" si="0"/>
        <v/>
      </c>
      <c r="K14" s="225" t="str">
        <f t="shared" si="1"/>
        <v/>
      </c>
      <c r="L14" s="267"/>
      <c r="N14" s="224" t="str">
        <f t="shared" si="2"/>
        <v/>
      </c>
    </row>
    <row r="15" spans="2:16" hidden="1">
      <c r="B15" s="512" t="s">
        <v>192</v>
      </c>
      <c r="C15" s="512"/>
      <c r="D15" s="512"/>
      <c r="E15" s="223"/>
      <c r="F15" s="222"/>
      <c r="G15" s="222"/>
      <c r="H15" s="221"/>
      <c r="I15" s="220"/>
      <c r="J15" s="219">
        <f>+SUM(J5:J14)</f>
        <v>0</v>
      </c>
      <c r="K15" s="218">
        <f>+SUM(K5:K14)</f>
        <v>0</v>
      </c>
      <c r="L15" s="266"/>
    </row>
    <row r="16" spans="2:16" hidden="1">
      <c r="J16" s="30" t="str">
        <f>"※排出係数＝"&amp;K1&amp;"㎏-CO2/kWh"</f>
        <v>※排出係数＝0.441㎏-CO2/kWh</v>
      </c>
    </row>
    <row r="17" spans="2:16" hidden="1"/>
    <row r="18" spans="2:16" ht="18.75" hidden="1">
      <c r="B18" s="236"/>
      <c r="K18" s="31">
        <v>0.441</v>
      </c>
      <c r="L18" s="31"/>
      <c r="N18" s="33"/>
      <c r="O18" s="34"/>
    </row>
    <row r="19" spans="2:16" hidden="1">
      <c r="N19" s="35"/>
      <c r="O19" s="35"/>
    </row>
    <row r="20" spans="2:16">
      <c r="C20" s="207" t="s">
        <v>214</v>
      </c>
      <c r="E20" s="439" t="s">
        <v>204</v>
      </c>
      <c r="F20" s="513"/>
      <c r="G20" s="513"/>
      <c r="H20" s="513"/>
      <c r="I20" s="513"/>
      <c r="J20" s="513"/>
      <c r="N20" s="35"/>
      <c r="O20" s="35"/>
    </row>
    <row r="21" spans="2:16" ht="40.5">
      <c r="B21" s="235" t="s">
        <v>203</v>
      </c>
      <c r="C21" s="514" t="s">
        <v>202</v>
      </c>
      <c r="D21" s="515"/>
      <c r="E21" s="233" t="s">
        <v>201</v>
      </c>
      <c r="F21" s="233" t="s">
        <v>200</v>
      </c>
      <c r="G21" s="233" t="s">
        <v>199</v>
      </c>
      <c r="H21" s="233" t="s">
        <v>198</v>
      </c>
      <c r="I21" s="57" t="s">
        <v>197</v>
      </c>
      <c r="J21" s="57" t="s">
        <v>196</v>
      </c>
      <c r="K21" s="233" t="s">
        <v>195</v>
      </c>
      <c r="L21" s="265"/>
      <c r="N21" s="234" t="s">
        <v>194</v>
      </c>
      <c r="P21" s="233" t="s">
        <v>193</v>
      </c>
    </row>
    <row r="22" spans="2:16">
      <c r="B22" s="37" t="str">
        <f>IF(入力シート!C45="","",入力シート!C45)</f>
        <v/>
      </c>
      <c r="C22" s="510" t="str">
        <f>IF(入力シート!D45="","",入力シート!D45)</f>
        <v/>
      </c>
      <c r="D22" s="511"/>
      <c r="E22" s="229" t="str">
        <f>IF(入力シート!E45="","",入力シート!E45)</f>
        <v/>
      </c>
      <c r="F22" s="229" t="str">
        <f>IF(入力シート!F45="","",入力シート!F45)</f>
        <v/>
      </c>
      <c r="G22" s="227" t="str">
        <f>IF(入力シート!G45="","",入力シート!G45)</f>
        <v/>
      </c>
      <c r="H22" s="37" t="str">
        <f>IF(入力シート!H45="","",入力シート!H45)</f>
        <v/>
      </c>
      <c r="I22" s="37" t="str">
        <f>IF(入力シート!I45="","",入力シート!I45)</f>
        <v/>
      </c>
      <c r="J22" s="226" t="str">
        <f t="shared" ref="J22:J31" si="3">IFERROR(IF(AND(I22&gt;0,I22&lt;=1),INT(N22*I22),INT(N22)),"")</f>
        <v/>
      </c>
      <c r="K22" s="218" t="str">
        <f t="shared" ref="K22:K31" si="4">IFERROR(ROUNDDOWN(J22*$K$18/1000,3),"")</f>
        <v/>
      </c>
      <c r="L22" s="266"/>
      <c r="N22" s="224" t="str">
        <f t="shared" ref="N22:N31" si="5">IFERROR(IF(H22="○",(0.0564*EXP(2.7518*F22/E22))*G22/F22,(0.4138*(F22/E22)+0.4307)*G22/F22),"")</f>
        <v/>
      </c>
      <c r="O22" s="231">
        <v>1</v>
      </c>
      <c r="P22" s="232">
        <f>SUMIF(B$22:B$31,1,K$22:K$31)</f>
        <v>0</v>
      </c>
    </row>
    <row r="23" spans="2:16">
      <c r="B23" s="37" t="str">
        <f>IF(入力シート!C46="","",入力シート!C46)</f>
        <v/>
      </c>
      <c r="C23" s="510" t="str">
        <f>IF(入力シート!D46="","",入力シート!D46)</f>
        <v/>
      </c>
      <c r="D23" s="511"/>
      <c r="E23" s="229" t="str">
        <f>IF(入力シート!E46="","",入力シート!E46)</f>
        <v/>
      </c>
      <c r="F23" s="229" t="str">
        <f>IF(入力シート!F46="","",入力シート!F46)</f>
        <v/>
      </c>
      <c r="G23" s="227" t="str">
        <f>IF(入力シート!G46="","",入力シート!G46)</f>
        <v/>
      </c>
      <c r="H23" s="37" t="str">
        <f>IF(入力シート!H46="","",入力シート!H46)</f>
        <v/>
      </c>
      <c r="I23" s="37" t="str">
        <f>IF(入力シート!I46="","",入力シート!I46)</f>
        <v/>
      </c>
      <c r="J23" s="226" t="str">
        <f t="shared" si="3"/>
        <v/>
      </c>
      <c r="K23" s="218" t="str">
        <f t="shared" si="4"/>
        <v/>
      </c>
      <c r="L23" s="266"/>
      <c r="N23" s="224" t="str">
        <f t="shared" si="5"/>
        <v/>
      </c>
      <c r="O23" s="231">
        <v>2</v>
      </c>
      <c r="P23" s="230">
        <f>SUMIF(B$22:B$31,2,K$22:K$31)</f>
        <v>0</v>
      </c>
    </row>
    <row r="24" spans="2:16">
      <c r="B24" s="37" t="str">
        <f>IF(入力シート!C47="","",入力シート!C47)</f>
        <v/>
      </c>
      <c r="C24" s="510" t="str">
        <f>IF(入力シート!D47="","",入力シート!D47)</f>
        <v/>
      </c>
      <c r="D24" s="511"/>
      <c r="E24" s="229" t="str">
        <f>IF(入力シート!E47="","",入力シート!E47)</f>
        <v/>
      </c>
      <c r="F24" s="229" t="str">
        <f>IF(入力シート!F47="","",入力シート!F47)</f>
        <v/>
      </c>
      <c r="G24" s="227" t="str">
        <f>IF(入力シート!G47="","",入力シート!G47)</f>
        <v/>
      </c>
      <c r="H24" s="37" t="str">
        <f>IF(入力シート!H47="","",入力シート!H47)</f>
        <v/>
      </c>
      <c r="I24" s="37" t="str">
        <f>IF(入力シート!I47="","",入力シート!I47)</f>
        <v/>
      </c>
      <c r="J24" s="226" t="str">
        <f t="shared" si="3"/>
        <v/>
      </c>
      <c r="K24" s="218" t="str">
        <f t="shared" si="4"/>
        <v/>
      </c>
      <c r="L24" s="266"/>
      <c r="N24" s="224" t="str">
        <f t="shared" si="5"/>
        <v/>
      </c>
      <c r="O24" s="231">
        <v>3</v>
      </c>
      <c r="P24" s="230">
        <f>SUMIF(B$22:B$31,3,K$22:K$31)</f>
        <v>0</v>
      </c>
    </row>
    <row r="25" spans="2:16">
      <c r="B25" s="37" t="str">
        <f>IF(入力シート!C48="","",入力シート!C48)</f>
        <v/>
      </c>
      <c r="C25" s="510" t="str">
        <f>IF(入力シート!D48="","",入力シート!D48)</f>
        <v/>
      </c>
      <c r="D25" s="511"/>
      <c r="E25" s="229" t="str">
        <f>IF(入力シート!E48="","",入力シート!E48)</f>
        <v/>
      </c>
      <c r="F25" s="229" t="str">
        <f>IF(入力シート!F48="","",入力シート!F48)</f>
        <v/>
      </c>
      <c r="G25" s="227" t="str">
        <f>IF(入力シート!G48="","",入力シート!G48)</f>
        <v/>
      </c>
      <c r="H25" s="37" t="str">
        <f>IF(入力シート!H48="","",入力シート!H48)</f>
        <v/>
      </c>
      <c r="I25" s="37" t="str">
        <f>IF(入力シート!I48="","",入力シート!I48)</f>
        <v/>
      </c>
      <c r="J25" s="226" t="str">
        <f t="shared" si="3"/>
        <v/>
      </c>
      <c r="K25" s="218" t="str">
        <f t="shared" si="4"/>
        <v/>
      </c>
      <c r="L25" s="266"/>
      <c r="N25" s="224" t="str">
        <f t="shared" si="5"/>
        <v/>
      </c>
      <c r="O25" s="231">
        <v>4</v>
      </c>
      <c r="P25" s="230">
        <f>SUMIF(B$22:B$31,4,K$22:K$31)</f>
        <v>0</v>
      </c>
    </row>
    <row r="26" spans="2:16">
      <c r="B26" s="37" t="str">
        <f>IF(入力シート!C49="","",入力シート!C49)</f>
        <v/>
      </c>
      <c r="C26" s="510" t="str">
        <f>IF(入力シート!D49="","",入力シート!D49)</f>
        <v/>
      </c>
      <c r="D26" s="511"/>
      <c r="E26" s="229" t="str">
        <f>IF(入力シート!E49="","",入力シート!E49)</f>
        <v/>
      </c>
      <c r="F26" s="229" t="str">
        <f>IF(入力シート!F49="","",入力シート!F49)</f>
        <v/>
      </c>
      <c r="G26" s="227" t="str">
        <f>IF(入力シート!G49="","",入力シート!G49)</f>
        <v/>
      </c>
      <c r="H26" s="37" t="str">
        <f>IF(入力シート!H49="","",入力シート!H49)</f>
        <v/>
      </c>
      <c r="I26" s="37" t="str">
        <f>IF(入力シート!I49="","",入力シート!I49)</f>
        <v/>
      </c>
      <c r="J26" s="226" t="str">
        <f t="shared" si="3"/>
        <v/>
      </c>
      <c r="K26" s="218" t="str">
        <f t="shared" si="4"/>
        <v/>
      </c>
      <c r="L26" s="266"/>
      <c r="N26" s="224" t="str">
        <f t="shared" si="5"/>
        <v/>
      </c>
      <c r="O26" s="231">
        <v>5</v>
      </c>
      <c r="P26" s="230">
        <f>SUMIF(B$22:B$31,5,K$22:K$31)</f>
        <v>0</v>
      </c>
    </row>
    <row r="27" spans="2:16">
      <c r="B27" s="37" t="str">
        <f>IF(入力シート!C50="","",入力シート!C50)</f>
        <v/>
      </c>
      <c r="C27" s="510" t="str">
        <f>IF(入力シート!D50="","",入力シート!D50)</f>
        <v/>
      </c>
      <c r="D27" s="511"/>
      <c r="E27" s="229" t="str">
        <f>IF(入力シート!E50="","",入力シート!E50)</f>
        <v/>
      </c>
      <c r="F27" s="229" t="str">
        <f>IF(入力シート!F50="","",入力シート!F50)</f>
        <v/>
      </c>
      <c r="G27" s="227" t="str">
        <f>IF(入力シート!G50="","",入力シート!G50)</f>
        <v/>
      </c>
      <c r="H27" s="37" t="str">
        <f>IF(入力シート!H50="","",入力シート!H50)</f>
        <v/>
      </c>
      <c r="I27" s="37" t="str">
        <f>IF(入力シート!I50="","",入力シート!I50)</f>
        <v/>
      </c>
      <c r="J27" s="226" t="str">
        <f t="shared" si="3"/>
        <v/>
      </c>
      <c r="K27" s="218" t="str">
        <f t="shared" si="4"/>
        <v/>
      </c>
      <c r="L27" s="266"/>
      <c r="N27" s="224" t="str">
        <f t="shared" si="5"/>
        <v/>
      </c>
      <c r="O27" s="231">
        <v>6</v>
      </c>
      <c r="P27" s="230">
        <f>SUMIF(B$22:B$31,6,K$22:K$31)</f>
        <v>0</v>
      </c>
    </row>
    <row r="28" spans="2:16">
      <c r="B28" s="37" t="str">
        <f>IF(入力シート!C51="","",入力シート!C51)</f>
        <v/>
      </c>
      <c r="C28" s="510" t="str">
        <f>IF(入力シート!D51="","",入力シート!D51)</f>
        <v/>
      </c>
      <c r="D28" s="511"/>
      <c r="E28" s="229" t="str">
        <f>IF(入力シート!E51="","",入力シート!E51)</f>
        <v/>
      </c>
      <c r="F28" s="229" t="str">
        <f>IF(入力シート!F51="","",入力シート!F51)</f>
        <v/>
      </c>
      <c r="G28" s="227" t="str">
        <f>IF(入力シート!G51="","",入力シート!G51)</f>
        <v/>
      </c>
      <c r="H28" s="37" t="str">
        <f>IF(入力シート!H51="","",入力シート!H51)</f>
        <v/>
      </c>
      <c r="I28" s="37" t="str">
        <f>IF(入力シート!I51="","",入力シート!I51)</f>
        <v/>
      </c>
      <c r="J28" s="226" t="str">
        <f t="shared" si="3"/>
        <v/>
      </c>
      <c r="K28" s="225" t="str">
        <f t="shared" si="4"/>
        <v/>
      </c>
      <c r="L28" s="267"/>
      <c r="N28" s="224" t="str">
        <f t="shared" si="5"/>
        <v/>
      </c>
    </row>
    <row r="29" spans="2:16">
      <c r="B29" s="37" t="str">
        <f>IF(入力シート!C52="","",入力シート!C52)</f>
        <v/>
      </c>
      <c r="C29" s="510" t="str">
        <f>IF(入力シート!D52="","",入力シート!D52)</f>
        <v/>
      </c>
      <c r="D29" s="511"/>
      <c r="E29" s="229" t="str">
        <f>IF(入力シート!E52="","",入力シート!E52)</f>
        <v/>
      </c>
      <c r="F29" s="229" t="str">
        <f>IF(入力シート!F52="","",入力シート!F52)</f>
        <v/>
      </c>
      <c r="G29" s="227" t="str">
        <f>IF(入力シート!G52="","",入力シート!G52)</f>
        <v/>
      </c>
      <c r="H29" s="37" t="str">
        <f>IF(入力シート!H52="","",入力シート!H52)</f>
        <v/>
      </c>
      <c r="I29" s="37" t="str">
        <f>IF(入力シート!I52="","",入力シート!I52)</f>
        <v/>
      </c>
      <c r="J29" s="226" t="str">
        <f t="shared" si="3"/>
        <v/>
      </c>
      <c r="K29" s="225" t="str">
        <f t="shared" si="4"/>
        <v/>
      </c>
      <c r="L29" s="267"/>
      <c r="N29" s="224" t="str">
        <f t="shared" si="5"/>
        <v/>
      </c>
    </row>
    <row r="30" spans="2:16">
      <c r="B30" s="37" t="str">
        <f>IF(入力シート!C53="","",入力シート!C53)</f>
        <v/>
      </c>
      <c r="C30" s="510" t="str">
        <f>IF(入力シート!D53="","",入力シート!D53)</f>
        <v/>
      </c>
      <c r="D30" s="511"/>
      <c r="E30" s="229" t="str">
        <f>IF(入力シート!E53="","",入力シート!E53)</f>
        <v/>
      </c>
      <c r="F30" s="229" t="str">
        <f>IF(入力シート!F53="","",入力シート!F53)</f>
        <v/>
      </c>
      <c r="G30" s="227" t="str">
        <f>IF(入力シート!G53="","",入力シート!G53)</f>
        <v/>
      </c>
      <c r="H30" s="37" t="str">
        <f>IF(入力シート!H53="","",入力シート!H53)</f>
        <v/>
      </c>
      <c r="I30" s="37" t="str">
        <f>IF(入力シート!I53="","",入力シート!I53)</f>
        <v/>
      </c>
      <c r="J30" s="226" t="str">
        <f t="shared" si="3"/>
        <v/>
      </c>
      <c r="K30" s="225" t="str">
        <f t="shared" si="4"/>
        <v/>
      </c>
      <c r="L30" s="267"/>
      <c r="N30" s="224" t="str">
        <f t="shared" si="5"/>
        <v/>
      </c>
    </row>
    <row r="31" spans="2:16">
      <c r="B31" s="37" t="str">
        <f>IF(入力シート!C54="","",入力シート!C54)</f>
        <v/>
      </c>
      <c r="C31" s="510" t="str">
        <f>IF(入力シート!D54="","",入力シート!D54)</f>
        <v/>
      </c>
      <c r="D31" s="511"/>
      <c r="E31" s="229" t="str">
        <f>IF(入力シート!E54="","",入力シート!E54)</f>
        <v/>
      </c>
      <c r="F31" s="229" t="str">
        <f>IF(入力シート!F54="","",入力シート!F54)</f>
        <v/>
      </c>
      <c r="G31" s="227" t="str">
        <f>IF(入力シート!G54="","",入力シート!G54)</f>
        <v/>
      </c>
      <c r="H31" s="37" t="str">
        <f>IF(入力シート!H54="","",入力シート!H54)</f>
        <v/>
      </c>
      <c r="I31" s="37" t="str">
        <f>IF(入力シート!I54="","",入力シート!I54)</f>
        <v/>
      </c>
      <c r="J31" s="226" t="str">
        <f t="shared" si="3"/>
        <v/>
      </c>
      <c r="K31" s="225" t="str">
        <f t="shared" si="4"/>
        <v/>
      </c>
      <c r="L31" s="267"/>
      <c r="N31" s="224" t="str">
        <f t="shared" si="5"/>
        <v/>
      </c>
    </row>
    <row r="32" spans="2:16">
      <c r="B32" s="512" t="s">
        <v>192</v>
      </c>
      <c r="C32" s="512"/>
      <c r="D32" s="512"/>
      <c r="E32" s="223"/>
      <c r="F32" s="222"/>
      <c r="G32" s="222"/>
      <c r="H32" s="221"/>
      <c r="I32" s="220"/>
      <c r="J32" s="219">
        <f>+SUM(J22:J31)</f>
        <v>0</v>
      </c>
      <c r="K32" s="218">
        <f>+SUM(K22:K31)</f>
        <v>0</v>
      </c>
      <c r="L32" s="266"/>
    </row>
    <row r="33" spans="2:9" ht="18" customHeight="1">
      <c r="I33" s="30" t="str">
        <f>"※排出係数＝"&amp;K18&amp;"㎏-CO2/kWh"</f>
        <v>※排出係数＝0.441㎏-CO2/kWh</v>
      </c>
    </row>
    <row r="35" spans="2:9" hidden="1">
      <c r="C35" s="207" t="s">
        <v>205</v>
      </c>
    </row>
    <row r="36" spans="2:9" hidden="1">
      <c r="B36" s="212"/>
      <c r="C36" s="212"/>
      <c r="D36" s="212" t="s">
        <v>191</v>
      </c>
      <c r="E36" s="215" t="s">
        <v>189</v>
      </c>
      <c r="F36" s="214" t="s">
        <v>188</v>
      </c>
      <c r="G36" s="213" t="s">
        <v>244</v>
      </c>
      <c r="H36" s="212"/>
    </row>
    <row r="37" spans="2:9" hidden="1">
      <c r="B37" s="30" t="str">
        <f>IF(入力シート!C7="","",入力シート!C7)</f>
        <v/>
      </c>
      <c r="C37" s="30" t="str">
        <f>IF(入力シート!D7="","",入力シート!D7)</f>
        <v/>
      </c>
      <c r="E37" s="264" t="str">
        <f>IF(入力シート!G7="","",入力シート!G7)</f>
        <v/>
      </c>
      <c r="F37" s="211" t="str">
        <f>IFERROR(VLOOKUP(B37,$O$5:$P$10,2),"")</f>
        <v/>
      </c>
      <c r="G37" s="210" t="str">
        <f>IFERROR(E37*F37,"")</f>
        <v/>
      </c>
    </row>
    <row r="38" spans="2:9" hidden="1">
      <c r="B38" s="30" t="str">
        <f>IF(入力シート!C8="","",入力シート!C8)</f>
        <v/>
      </c>
      <c r="C38" s="30" t="str">
        <f>IF(入力シート!D8="","",入力シート!D8)</f>
        <v/>
      </c>
      <c r="E38" s="264" t="str">
        <f>IF(入力シート!G8="","",入力シート!G8)</f>
        <v/>
      </c>
      <c r="F38" s="211" t="str">
        <f t="shared" ref="F38:F42" si="6">IFERROR(VLOOKUP(B38,$O$5:$P$10,2),"")</f>
        <v/>
      </c>
      <c r="G38" s="210" t="str">
        <f>IFERROR(E38*F38,"")</f>
        <v/>
      </c>
    </row>
    <row r="39" spans="2:9" hidden="1">
      <c r="B39" s="30" t="str">
        <f>IF(入力シート!C9="","",入力シート!C9)</f>
        <v/>
      </c>
      <c r="C39" s="30" t="str">
        <f>IF(入力シート!D9="","",入力シート!D9)</f>
        <v/>
      </c>
      <c r="E39" s="264" t="str">
        <f>IF(入力シート!G9="","",入力シート!G9)</f>
        <v/>
      </c>
      <c r="F39" s="211" t="str">
        <f t="shared" si="6"/>
        <v/>
      </c>
      <c r="G39" s="210" t="str">
        <f>IFERROR(E39*F39,"")</f>
        <v/>
      </c>
    </row>
    <row r="40" spans="2:9" hidden="1">
      <c r="B40" s="30" t="str">
        <f>IF(入力シート!C10="","",入力シート!C10)</f>
        <v/>
      </c>
      <c r="C40" s="30" t="str">
        <f>IF(入力シート!D10="","",入力シート!D10)</f>
        <v/>
      </c>
      <c r="E40" s="264" t="str">
        <f>IF(入力シート!G10="","",入力シート!G10)</f>
        <v/>
      </c>
      <c r="F40" s="211" t="str">
        <f t="shared" si="6"/>
        <v/>
      </c>
      <c r="G40" s="210" t="str">
        <f>IFERROR(E40*F40,"")</f>
        <v/>
      </c>
    </row>
    <row r="41" spans="2:9" hidden="1">
      <c r="B41" s="30" t="str">
        <f>IF(入力シート!C11="","",入力シート!C11)</f>
        <v/>
      </c>
      <c r="C41" s="30" t="str">
        <f>IF(入力シート!D11="","",入力シート!D11)</f>
        <v/>
      </c>
      <c r="E41" s="264" t="str">
        <f>IF(入力シート!G11="","",入力シート!G11)</f>
        <v/>
      </c>
      <c r="F41" s="211" t="str">
        <f t="shared" si="6"/>
        <v/>
      </c>
      <c r="G41" s="210"/>
    </row>
    <row r="42" spans="2:9" ht="14.25" hidden="1" thickBot="1">
      <c r="B42" s="30" t="str">
        <f>IF(入力シート!C12="","",入力シート!C12)</f>
        <v/>
      </c>
      <c r="C42" s="30" t="str">
        <f>IF(入力シート!D12="","",入力シート!D12)</f>
        <v/>
      </c>
      <c r="E42" s="264" t="str">
        <f>IF(入力シート!G12="","",入力シート!G12)</f>
        <v/>
      </c>
      <c r="F42" s="211" t="str">
        <f t="shared" si="6"/>
        <v/>
      </c>
      <c r="G42" s="210"/>
    </row>
    <row r="43" spans="2:9" ht="14.25" hidden="1" thickBot="1">
      <c r="E43" s="217"/>
      <c r="F43" s="276" t="s">
        <v>245</v>
      </c>
      <c r="G43" s="208">
        <f>SUM(G37:G40)</f>
        <v>0</v>
      </c>
    </row>
    <row r="44" spans="2:9">
      <c r="C44" s="207" t="s">
        <v>187</v>
      </c>
      <c r="E44" s="209"/>
      <c r="F44" s="211"/>
    </row>
    <row r="45" spans="2:9">
      <c r="B45" s="212"/>
      <c r="C45" s="212"/>
      <c r="D45" s="216" t="s">
        <v>190</v>
      </c>
      <c r="E45" s="215" t="s">
        <v>189</v>
      </c>
      <c r="F45" s="214" t="s">
        <v>188</v>
      </c>
      <c r="G45" s="213" t="s">
        <v>244</v>
      </c>
      <c r="H45" s="212"/>
    </row>
    <row r="46" spans="2:9">
      <c r="B46" s="30" t="str">
        <f>IF(入力シート!C34="","",入力シート!C34)</f>
        <v/>
      </c>
      <c r="C46" s="30" t="str">
        <f>IF(入力シート!D34="","",入力シート!D34)</f>
        <v/>
      </c>
      <c r="E46" s="264" t="str">
        <f>IF(入力シート!G34="","",入力シート!G34)</f>
        <v/>
      </c>
      <c r="F46" s="211" t="str">
        <f>IFERROR(VLOOKUP(B46,$O$22:$P$27,2),"")</f>
        <v/>
      </c>
      <c r="G46" s="210" t="str">
        <f>IFERROR(E46*F46,"")</f>
        <v/>
      </c>
    </row>
    <row r="47" spans="2:9">
      <c r="B47" s="30" t="str">
        <f>IF(入力シート!C35="","",入力シート!C35)</f>
        <v/>
      </c>
      <c r="C47" s="30" t="str">
        <f>IF(入力シート!D35="","",入力シート!D35)</f>
        <v/>
      </c>
      <c r="E47" s="264" t="str">
        <f>IF(入力シート!G35="","",入力シート!G35)</f>
        <v/>
      </c>
      <c r="F47" s="211" t="str">
        <f t="shared" ref="F47:F51" si="7">IFERROR(VLOOKUP(B47,$O$22:$P$27,2),"")</f>
        <v/>
      </c>
      <c r="G47" s="210" t="str">
        <f>IFERROR(E47*F47,"")</f>
        <v/>
      </c>
    </row>
    <row r="48" spans="2:9">
      <c r="B48" s="30" t="str">
        <f>IF(入力シート!C36="","",入力シート!C36)</f>
        <v/>
      </c>
      <c r="C48" s="30" t="str">
        <f>IF(入力シート!D36="","",入力シート!D36)</f>
        <v/>
      </c>
      <c r="E48" s="264" t="str">
        <f>IF(入力シート!G36="","",入力シート!G36)</f>
        <v/>
      </c>
      <c r="F48" s="211" t="str">
        <f t="shared" si="7"/>
        <v/>
      </c>
      <c r="G48" s="210" t="str">
        <f>IFERROR(E48*F48,"")</f>
        <v/>
      </c>
    </row>
    <row r="49" spans="2:12">
      <c r="B49" s="30" t="str">
        <f>IF(入力シート!C37="","",入力シート!C37)</f>
        <v/>
      </c>
      <c r="C49" s="30" t="str">
        <f>IF(入力シート!D37="","",入力シート!D37)</f>
        <v/>
      </c>
      <c r="E49" s="264" t="str">
        <f>IF(入力シート!G37="","",入力シート!G37)</f>
        <v/>
      </c>
      <c r="F49" s="211" t="str">
        <f t="shared" si="7"/>
        <v/>
      </c>
      <c r="G49" s="210" t="str">
        <f>IFERROR(E49*F49,"")</f>
        <v/>
      </c>
    </row>
    <row r="50" spans="2:12">
      <c r="B50" s="30" t="str">
        <f>IF(入力シート!C38="","",入力シート!C38)</f>
        <v/>
      </c>
      <c r="C50" s="30" t="str">
        <f>IF(入力シート!D38="","",入力シート!D38)</f>
        <v/>
      </c>
      <c r="E50" s="264" t="str">
        <f>IF(入力シート!G38="","",入力シート!G38)</f>
        <v/>
      </c>
      <c r="F50" s="211" t="str">
        <f t="shared" si="7"/>
        <v/>
      </c>
    </row>
    <row r="51" spans="2:12" ht="14.25" thickBot="1">
      <c r="B51" s="30" t="str">
        <f>IF(入力シート!C39="","",入力シート!C39)</f>
        <v/>
      </c>
      <c r="C51" s="30" t="str">
        <f>IF(入力シート!D39="","",入力シート!D39)</f>
        <v/>
      </c>
      <c r="E51" s="264" t="str">
        <f>IF(入力シート!G39="","",入力シート!G39)</f>
        <v/>
      </c>
      <c r="F51" s="211" t="str">
        <f t="shared" si="7"/>
        <v/>
      </c>
    </row>
    <row r="52" spans="2:12" ht="14.25" thickBot="1">
      <c r="F52" s="276" t="s">
        <v>245</v>
      </c>
      <c r="G52" s="208">
        <f>SUM(G46:G51)</f>
        <v>0</v>
      </c>
      <c r="K52" s="31"/>
      <c r="L52" s="31"/>
    </row>
  </sheetData>
  <sheetProtection algorithmName="SHA-512" hashValue="B25YmXrVIMXjaENtTxaGN0zqgzwvWGFcmvGlnGFbuVz8YWNavb+Em09QdhZ63s56QtAL5TEga7lfcVHa1ZR2fw==" saltValue="852FZNNKQ2m5ohUVPgYRvA=="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62" fitToHeight="0" orientation="portrait" r:id="rId1"/>
  <headerFooter>
    <oddFooter>&amp;RR4（補正）バイオ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B9563-632E-4561-AFF9-C2D89EB2A3DE}">
  <sheetPr>
    <pageSetUpPr fitToPage="1"/>
  </sheetPr>
  <dimension ref="A1:N26"/>
  <sheetViews>
    <sheetView workbookViewId="0">
      <selection activeCell="B1" sqref="B1"/>
    </sheetView>
  </sheetViews>
  <sheetFormatPr defaultRowHeight="13.5"/>
  <cols>
    <col min="1" max="2" width="0.875" style="278" customWidth="1"/>
    <col min="3" max="3" width="4.625" style="278" customWidth="1"/>
    <col min="4" max="4" width="16.5" style="278" customWidth="1"/>
    <col min="5" max="5" width="18.25" style="278" customWidth="1"/>
    <col min="6" max="6" width="5.25" style="278" customWidth="1"/>
    <col min="7" max="7" width="7.25" style="278" customWidth="1"/>
    <col min="8" max="8" width="5.25" style="278" customWidth="1"/>
    <col min="9" max="10" width="18.25" style="278" customWidth="1"/>
    <col min="11" max="12" width="10.625" style="278" customWidth="1"/>
    <col min="13" max="13" width="10.375" style="278" customWidth="1"/>
    <col min="14" max="14" width="10.25" style="278" customWidth="1"/>
  </cols>
  <sheetData>
    <row r="1" spans="1:14" s="307" customFormat="1" ht="15.75" customHeight="1">
      <c r="A1" s="278"/>
      <c r="B1" s="278"/>
      <c r="C1" s="311" t="s">
        <v>263</v>
      </c>
      <c r="D1" s="311"/>
      <c r="E1" s="311"/>
      <c r="F1" s="311"/>
      <c r="G1" s="311"/>
      <c r="H1" s="311"/>
      <c r="I1" s="311"/>
      <c r="J1" s="311"/>
      <c r="K1" s="311"/>
      <c r="L1" s="311"/>
      <c r="M1" s="311"/>
      <c r="N1" s="311"/>
    </row>
    <row r="2" spans="1:14" s="307" customFormat="1" ht="21.95" customHeight="1" thickBot="1">
      <c r="A2" s="278"/>
      <c r="B2" s="278"/>
      <c r="C2" s="278"/>
      <c r="D2" s="278"/>
      <c r="E2" s="278"/>
      <c r="F2" s="278"/>
      <c r="G2" s="278"/>
      <c r="H2" s="278"/>
      <c r="I2" s="278"/>
      <c r="J2" s="278"/>
      <c r="K2" s="278"/>
      <c r="L2" s="278"/>
      <c r="M2" s="278"/>
      <c r="N2" s="278"/>
    </row>
    <row r="3" spans="1:14" s="307" customFormat="1" ht="21.95" customHeight="1">
      <c r="C3" s="520"/>
      <c r="D3" s="522" t="s">
        <v>202</v>
      </c>
      <c r="E3" s="524" t="s">
        <v>262</v>
      </c>
      <c r="F3" s="516" t="s">
        <v>261</v>
      </c>
      <c r="G3" s="516" t="s">
        <v>260</v>
      </c>
      <c r="H3" s="516" t="s">
        <v>259</v>
      </c>
      <c r="I3" s="524" t="s">
        <v>258</v>
      </c>
      <c r="J3" s="526"/>
      <c r="K3" s="526"/>
      <c r="L3" s="522"/>
      <c r="M3" s="516" t="s">
        <v>257</v>
      </c>
      <c r="N3" s="518" t="s">
        <v>256</v>
      </c>
    </row>
    <row r="4" spans="1:14" s="278" customFormat="1" ht="21.95" customHeight="1">
      <c r="A4" s="307"/>
      <c r="B4" s="307"/>
      <c r="C4" s="521"/>
      <c r="D4" s="523"/>
      <c r="E4" s="525"/>
      <c r="F4" s="517"/>
      <c r="G4" s="517"/>
      <c r="H4" s="517"/>
      <c r="I4" s="310" t="s">
        <v>255</v>
      </c>
      <c r="J4" s="310" t="s">
        <v>254</v>
      </c>
      <c r="K4" s="310" t="s">
        <v>253</v>
      </c>
      <c r="L4" s="310" t="s">
        <v>252</v>
      </c>
      <c r="M4" s="517"/>
      <c r="N4" s="519"/>
    </row>
    <row r="5" spans="1:14" s="278" customFormat="1" ht="21.95" customHeight="1">
      <c r="A5" s="307"/>
      <c r="B5" s="307"/>
      <c r="C5" s="290"/>
      <c r="D5" s="309"/>
      <c r="E5" s="309"/>
      <c r="F5" s="289"/>
      <c r="G5" s="289"/>
      <c r="H5" s="289"/>
      <c r="I5" s="289"/>
      <c r="J5" s="289"/>
      <c r="K5" s="304"/>
      <c r="L5" s="289"/>
      <c r="M5" s="289"/>
      <c r="N5" s="308"/>
    </row>
    <row r="6" spans="1:14" s="307" customFormat="1" ht="21.95" customHeight="1">
      <c r="C6" s="291"/>
      <c r="D6" s="306"/>
      <c r="E6" s="306"/>
      <c r="F6" s="289"/>
      <c r="G6" s="289"/>
      <c r="H6" s="289"/>
      <c r="I6" s="289"/>
      <c r="J6" s="289"/>
      <c r="K6" s="304"/>
      <c r="L6" s="289"/>
      <c r="M6" s="289"/>
      <c r="N6" s="305"/>
    </row>
    <row r="7" spans="1:14" s="278" customFormat="1" ht="21.95" customHeight="1">
      <c r="C7" s="290"/>
      <c r="D7" s="306"/>
      <c r="E7" s="306"/>
      <c r="F7" s="289"/>
      <c r="G7" s="289"/>
      <c r="H7" s="289"/>
      <c r="I7" s="289"/>
      <c r="J7" s="289"/>
      <c r="K7" s="304"/>
      <c r="L7" s="289"/>
      <c r="M7" s="289"/>
      <c r="N7" s="305"/>
    </row>
    <row r="8" spans="1:14" s="278" customFormat="1" ht="21.95" customHeight="1">
      <c r="C8" s="291"/>
      <c r="D8" s="306"/>
      <c r="E8" s="306"/>
      <c r="F8" s="289"/>
      <c r="G8" s="289"/>
      <c r="H8" s="289"/>
      <c r="I8" s="289"/>
      <c r="J8" s="289"/>
      <c r="K8" s="304"/>
      <c r="L8" s="289"/>
      <c r="M8" s="289"/>
      <c r="N8" s="305"/>
    </row>
    <row r="9" spans="1:14" s="278" customFormat="1" ht="21.95" customHeight="1">
      <c r="A9" s="307"/>
      <c r="B9" s="307"/>
      <c r="C9" s="290"/>
      <c r="D9" s="306"/>
      <c r="E9" s="306"/>
      <c r="F9" s="289"/>
      <c r="G9" s="289"/>
      <c r="H9" s="289"/>
      <c r="I9" s="289"/>
      <c r="J9" s="289"/>
      <c r="K9" s="304"/>
      <c r="L9" s="289"/>
      <c r="M9" s="289"/>
      <c r="N9" s="305"/>
    </row>
    <row r="10" spans="1:14" s="278" customFormat="1" ht="21.95" customHeight="1">
      <c r="C10" s="291"/>
      <c r="D10" s="284"/>
      <c r="E10" s="284"/>
      <c r="F10" s="289"/>
      <c r="G10" s="287"/>
      <c r="H10" s="284"/>
      <c r="I10" s="287"/>
      <c r="J10" s="289"/>
      <c r="K10" s="304"/>
      <c r="L10" s="289"/>
      <c r="M10" s="289"/>
      <c r="N10" s="286"/>
    </row>
    <row r="11" spans="1:14" s="278" customFormat="1" ht="21.95" customHeight="1">
      <c r="C11" s="290"/>
      <c r="D11" s="284"/>
      <c r="E11" s="284"/>
      <c r="F11" s="289"/>
      <c r="G11" s="284"/>
      <c r="H11" s="284"/>
      <c r="I11" s="287"/>
      <c r="J11" s="289"/>
      <c r="K11" s="304"/>
      <c r="L11" s="289"/>
      <c r="M11" s="289"/>
      <c r="N11" s="286"/>
    </row>
    <row r="12" spans="1:14" s="278" customFormat="1" ht="21.95" customHeight="1">
      <c r="C12" s="291"/>
      <c r="D12" s="284"/>
      <c r="E12" s="284"/>
      <c r="F12" s="289"/>
      <c r="G12" s="284"/>
      <c r="H12" s="284"/>
      <c r="I12" s="287"/>
      <c r="J12" s="289"/>
      <c r="K12" s="288"/>
      <c r="L12" s="289"/>
      <c r="M12" s="289"/>
      <c r="N12" s="286"/>
    </row>
    <row r="13" spans="1:14" s="278" customFormat="1" ht="21.95" customHeight="1">
      <c r="C13" s="290"/>
      <c r="D13" s="284"/>
      <c r="E13" s="284"/>
      <c r="F13" s="289"/>
      <c r="G13" s="284"/>
      <c r="H13" s="287"/>
      <c r="I13" s="289"/>
      <c r="J13" s="289"/>
      <c r="K13" s="304"/>
      <c r="L13" s="289"/>
      <c r="M13" s="289"/>
      <c r="N13" s="286"/>
    </row>
    <row r="14" spans="1:14" s="278" customFormat="1" ht="21.95" customHeight="1">
      <c r="C14" s="291"/>
      <c r="D14" s="284"/>
      <c r="E14" s="284"/>
      <c r="F14" s="289"/>
      <c r="G14" s="284"/>
      <c r="H14" s="284"/>
      <c r="I14" s="287"/>
      <c r="J14" s="289"/>
      <c r="K14" s="288"/>
      <c r="L14" s="289"/>
      <c r="M14" s="289"/>
      <c r="N14" s="286"/>
    </row>
    <row r="15" spans="1:14" s="278" customFormat="1" ht="21.95" customHeight="1" thickBot="1">
      <c r="C15" s="303"/>
      <c r="D15" s="299"/>
      <c r="E15" s="299"/>
      <c r="F15" s="301"/>
      <c r="G15" s="299"/>
      <c r="H15" s="302"/>
      <c r="I15" s="302"/>
      <c r="J15" s="301"/>
      <c r="K15" s="300"/>
      <c r="L15" s="299"/>
      <c r="M15" s="299"/>
      <c r="N15" s="298"/>
    </row>
    <row r="16" spans="1:14" s="278" customFormat="1" ht="21.95" customHeight="1">
      <c r="C16" s="297"/>
      <c r="D16" s="296"/>
      <c r="E16" s="296"/>
      <c r="F16" s="293"/>
      <c r="G16" s="296"/>
      <c r="H16" s="295"/>
      <c r="I16" s="295"/>
      <c r="J16" s="293"/>
      <c r="K16" s="294"/>
      <c r="L16" s="293"/>
      <c r="M16" s="293"/>
      <c r="N16" s="292"/>
    </row>
    <row r="17" spans="3:14" s="278" customFormat="1" ht="21.95" customHeight="1">
      <c r="C17" s="291"/>
      <c r="D17" s="284"/>
      <c r="E17" s="284"/>
      <c r="F17" s="289"/>
      <c r="G17" s="287"/>
      <c r="H17" s="287"/>
      <c r="I17" s="287"/>
      <c r="J17" s="287"/>
      <c r="K17" s="288"/>
      <c r="L17" s="289"/>
      <c r="M17" s="289"/>
      <c r="N17" s="286"/>
    </row>
    <row r="18" spans="3:14" s="278" customFormat="1" ht="21.95" customHeight="1">
      <c r="C18" s="290"/>
      <c r="D18" s="284"/>
      <c r="E18" s="284"/>
      <c r="F18" s="289"/>
      <c r="G18" s="284"/>
      <c r="H18" s="287"/>
      <c r="I18" s="287"/>
      <c r="J18" s="287"/>
      <c r="K18" s="288"/>
      <c r="L18" s="287"/>
      <c r="M18" s="284"/>
      <c r="N18" s="286"/>
    </row>
    <row r="19" spans="3:14" s="278" customFormat="1" ht="21.95" customHeight="1">
      <c r="C19" s="285"/>
      <c r="D19" s="284"/>
      <c r="E19" s="284"/>
      <c r="F19" s="284"/>
      <c r="G19" s="284"/>
      <c r="H19" s="284"/>
      <c r="I19" s="284"/>
      <c r="J19" s="284"/>
      <c r="K19" s="284"/>
      <c r="L19" s="284"/>
      <c r="M19" s="284"/>
      <c r="N19" s="286"/>
    </row>
    <row r="20" spans="3:14" s="278" customFormat="1" ht="21.95" customHeight="1">
      <c r="C20" s="285"/>
      <c r="D20" s="284"/>
      <c r="E20" s="284"/>
      <c r="F20" s="284"/>
      <c r="G20" s="284"/>
      <c r="H20" s="284"/>
      <c r="I20" s="284"/>
      <c r="J20" s="284"/>
      <c r="K20" s="284"/>
      <c r="L20" s="284"/>
      <c r="M20" s="284"/>
      <c r="N20" s="286"/>
    </row>
    <row r="21" spans="3:14" s="278" customFormat="1" ht="21.95" customHeight="1">
      <c r="C21" s="285"/>
      <c r="D21" s="284"/>
      <c r="E21" s="284"/>
      <c r="F21" s="284"/>
      <c r="G21" s="284"/>
      <c r="H21" s="284"/>
      <c r="I21" s="284"/>
      <c r="J21" s="284"/>
      <c r="K21" s="284"/>
      <c r="L21" s="284"/>
      <c r="M21" s="284"/>
      <c r="N21" s="286"/>
    </row>
    <row r="22" spans="3:14" s="278" customFormat="1" ht="21.95" customHeight="1">
      <c r="C22" s="285"/>
      <c r="D22" s="284"/>
      <c r="E22" s="284"/>
      <c r="F22" s="284"/>
      <c r="G22" s="284"/>
      <c r="H22" s="284"/>
      <c r="I22" s="284"/>
      <c r="J22" s="284"/>
      <c r="K22" s="284"/>
      <c r="L22" s="284"/>
      <c r="M22" s="284"/>
      <c r="N22" s="286"/>
    </row>
    <row r="23" spans="3:14" s="278" customFormat="1" ht="21.95" customHeight="1">
      <c r="C23" s="285"/>
      <c r="D23" s="284"/>
      <c r="E23" s="284"/>
      <c r="F23" s="284"/>
      <c r="G23" s="284"/>
      <c r="H23" s="284"/>
      <c r="I23" s="284"/>
      <c r="J23" s="284"/>
      <c r="K23" s="284"/>
      <c r="L23" s="284"/>
      <c r="M23" s="284"/>
      <c r="N23" s="283"/>
    </row>
    <row r="24" spans="3:14" s="278" customFormat="1" ht="21.95" customHeight="1">
      <c r="C24" s="285"/>
      <c r="D24" s="284"/>
      <c r="E24" s="284"/>
      <c r="F24" s="284"/>
      <c r="G24" s="284"/>
      <c r="H24" s="284"/>
      <c r="I24" s="284"/>
      <c r="J24" s="284"/>
      <c r="K24" s="284"/>
      <c r="L24" s="284"/>
      <c r="M24" s="284"/>
      <c r="N24" s="283"/>
    </row>
    <row r="25" spans="3:14" ht="14.25" thickBot="1">
      <c r="C25" s="282"/>
      <c r="D25" s="280"/>
      <c r="E25" s="280"/>
      <c r="F25" s="280"/>
      <c r="G25" s="280"/>
      <c r="H25" s="280"/>
      <c r="I25" s="280"/>
      <c r="J25" s="280"/>
      <c r="K25" s="281"/>
      <c r="L25" s="280"/>
      <c r="M25" s="280"/>
      <c r="N25" s="279"/>
    </row>
    <row r="26" spans="3:14">
      <c r="N26" s="379" t="s">
        <v>251</v>
      </c>
    </row>
  </sheetData>
  <mergeCells count="9">
    <mergeCell ref="M3:M4"/>
    <mergeCell ref="N3:N4"/>
    <mergeCell ref="C3:C4"/>
    <mergeCell ref="D3:D4"/>
    <mergeCell ref="E3:E4"/>
    <mergeCell ref="F3:F4"/>
    <mergeCell ref="G3:G4"/>
    <mergeCell ref="H3:H4"/>
    <mergeCell ref="I3:L3"/>
  </mergeCells>
  <phoneticPr fontId="2"/>
  <pageMargins left="0.70866141732283472" right="0.70866141732283472" top="0.74803149606299213" bottom="0.74803149606299213" header="0.31496062992125984" footer="0.31496062992125984"/>
  <pageSetup paperSize="9" scale="98" orientation="landscape" horizontalDpi="4294967293" verticalDpi="0" r:id="rId1"/>
  <headerFooter>
    <oddFooter>&amp;R&amp;14R4（補正）バイオ</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E52" zoomScaleNormal="100" zoomScaleSheetLayoutView="100" workbookViewId="0">
      <selection activeCell="V58" activeCellId="1" sqref="T57 V58"/>
    </sheetView>
  </sheetViews>
  <sheetFormatPr defaultRowHeight="13.5"/>
  <cols>
    <col min="1" max="1" width="10.375" style="87" customWidth="1"/>
    <col min="2" max="3" width="9" style="87"/>
    <col min="4" max="4" width="9.25" style="87" customWidth="1"/>
    <col min="5" max="6" width="7.625" style="87" customWidth="1"/>
    <col min="7" max="8" width="7.75" style="87" customWidth="1"/>
    <col min="9" max="14" width="6.875" style="87" customWidth="1"/>
    <col min="15" max="16" width="8.125" style="87" customWidth="1"/>
    <col min="17" max="17" width="14.125" style="87" customWidth="1"/>
    <col min="18" max="18" width="9" style="87"/>
    <col min="19" max="19" width="10.5" style="87" customWidth="1"/>
    <col min="20" max="16384" width="9" style="87"/>
  </cols>
  <sheetData>
    <row r="1" spans="1:17" ht="17.25">
      <c r="A1" s="157" t="s">
        <v>170</v>
      </c>
      <c r="B1" s="136"/>
      <c r="C1" s="136"/>
      <c r="D1" s="136"/>
      <c r="E1" s="136"/>
      <c r="F1" s="136"/>
      <c r="G1" s="136"/>
      <c r="H1" s="136"/>
      <c r="I1" s="136"/>
      <c r="J1" s="136"/>
      <c r="K1" s="136"/>
      <c r="L1" s="136"/>
      <c r="M1" s="136"/>
      <c r="N1" s="136"/>
      <c r="O1" s="136"/>
      <c r="P1" s="136"/>
      <c r="Q1" s="136"/>
    </row>
    <row r="2" spans="1:17" ht="17.25">
      <c r="A2" s="157" t="s">
        <v>169</v>
      </c>
      <c r="B2" s="136"/>
      <c r="C2" s="136"/>
      <c r="D2" s="136"/>
      <c r="E2" s="136"/>
      <c r="F2" s="136"/>
      <c r="G2" s="136"/>
      <c r="H2" s="136"/>
      <c r="I2" s="136"/>
      <c r="J2" s="136"/>
      <c r="K2" s="136"/>
      <c r="L2" s="136"/>
      <c r="M2" s="136"/>
      <c r="N2" s="136"/>
      <c r="O2" s="136"/>
      <c r="P2" s="136"/>
      <c r="Q2" s="136"/>
    </row>
    <row r="3" spans="1:17">
      <c r="A3" s="136"/>
      <c r="B3" s="136"/>
      <c r="C3" s="136"/>
      <c r="D3" s="136"/>
      <c r="E3" s="136"/>
      <c r="F3" s="136"/>
      <c r="G3" s="136"/>
      <c r="H3" s="136"/>
      <c r="I3" s="136"/>
      <c r="J3" s="136"/>
      <c r="K3" s="136"/>
      <c r="L3" s="136"/>
      <c r="M3" s="136"/>
      <c r="N3" s="136"/>
      <c r="O3" s="136"/>
      <c r="P3" s="136"/>
      <c r="Q3" s="136"/>
    </row>
    <row r="4" spans="1:17">
      <c r="A4" s="136" t="s">
        <v>168</v>
      </c>
      <c r="B4" s="136"/>
      <c r="C4" s="136"/>
      <c r="D4" s="136"/>
      <c r="E4" s="136"/>
      <c r="F4" s="136"/>
      <c r="G4" s="136"/>
      <c r="H4" s="136"/>
      <c r="I4" s="136"/>
      <c r="J4" s="136"/>
      <c r="K4" s="136"/>
      <c r="L4" s="136"/>
      <c r="M4" s="136"/>
      <c r="N4" s="136"/>
      <c r="O4" s="136"/>
      <c r="P4" s="136"/>
      <c r="Q4" s="136"/>
    </row>
    <row r="5" spans="1:17">
      <c r="A5" s="136" t="s">
        <v>167</v>
      </c>
      <c r="B5" s="136"/>
      <c r="C5" s="136"/>
      <c r="D5" s="136"/>
      <c r="E5" s="136"/>
      <c r="F5" s="136"/>
      <c r="G5" s="136"/>
      <c r="H5" s="136"/>
      <c r="I5" s="136"/>
      <c r="J5" s="136"/>
      <c r="K5" s="136"/>
      <c r="L5" s="136"/>
      <c r="M5" s="136"/>
      <c r="N5" s="136"/>
      <c r="O5" s="136"/>
      <c r="P5" s="136"/>
      <c r="Q5" s="136"/>
    </row>
    <row r="6" spans="1:17">
      <c r="A6" s="136" t="s">
        <v>166</v>
      </c>
      <c r="B6" s="136"/>
      <c r="C6" s="136"/>
      <c r="D6" s="136"/>
      <c r="E6" s="136"/>
      <c r="F6" s="136"/>
      <c r="G6" s="136"/>
      <c r="H6" s="136"/>
      <c r="I6" s="136"/>
      <c r="J6" s="136"/>
      <c r="K6" s="136"/>
      <c r="L6" s="136"/>
      <c r="M6" s="136"/>
      <c r="N6" s="136"/>
      <c r="O6" s="136"/>
      <c r="P6" s="136"/>
      <c r="Q6" s="136"/>
    </row>
    <row r="7" spans="1:17">
      <c r="A7" s="136"/>
      <c r="B7" s="136"/>
      <c r="C7" s="136"/>
      <c r="D7" s="136"/>
      <c r="E7" s="136"/>
      <c r="F7" s="136"/>
      <c r="G7" s="136"/>
      <c r="H7" s="136"/>
      <c r="I7" s="136"/>
      <c r="J7" s="136"/>
      <c r="K7" s="136"/>
      <c r="L7" s="136"/>
      <c r="M7" s="136"/>
      <c r="N7" s="136"/>
      <c r="O7" s="136"/>
      <c r="P7" s="136"/>
      <c r="Q7" s="136"/>
    </row>
    <row r="8" spans="1:17" ht="13.5" customHeight="1">
      <c r="A8" s="156"/>
      <c r="B8" s="155"/>
      <c r="C8" s="155"/>
      <c r="D8" s="155"/>
      <c r="E8" s="155"/>
      <c r="F8" s="155"/>
      <c r="G8" s="155"/>
      <c r="H8" s="155"/>
      <c r="I8" s="154"/>
      <c r="J8" s="154"/>
      <c r="K8" s="154"/>
      <c r="L8" s="154"/>
      <c r="M8" s="154"/>
      <c r="N8" s="154"/>
      <c r="O8" s="154"/>
      <c r="P8" s="154"/>
      <c r="Q8" s="153"/>
    </row>
    <row r="9" spans="1:17" ht="14.25">
      <c r="A9" s="152" t="s">
        <v>165</v>
      </c>
      <c r="B9" s="90"/>
      <c r="C9" s="90"/>
      <c r="D9" s="90"/>
      <c r="E9" s="90"/>
      <c r="F9" s="90"/>
      <c r="G9" s="90"/>
      <c r="H9" s="90"/>
      <c r="I9" s="136"/>
      <c r="J9" s="136"/>
      <c r="K9" s="136"/>
      <c r="L9" s="136"/>
      <c r="M9" s="136"/>
      <c r="N9" s="136"/>
      <c r="O9" s="136"/>
      <c r="P9" s="136"/>
      <c r="Q9" s="151"/>
    </row>
    <row r="10" spans="1:17" ht="14.25" customHeight="1">
      <c r="A10" s="591" t="s">
        <v>164</v>
      </c>
      <c r="B10" s="592"/>
      <c r="C10" s="592"/>
      <c r="D10" s="592"/>
      <c r="E10" s="592"/>
      <c r="F10" s="592"/>
      <c r="G10" s="592"/>
      <c r="H10" s="592"/>
      <c r="I10" s="592"/>
      <c r="J10" s="592"/>
      <c r="K10" s="592"/>
      <c r="L10" s="592"/>
      <c r="M10" s="592"/>
      <c r="N10" s="592"/>
      <c r="O10" s="592"/>
      <c r="P10" s="592"/>
      <c r="Q10" s="593"/>
    </row>
    <row r="11" spans="1:17" ht="13.5" customHeight="1">
      <c r="A11" s="542" t="s">
        <v>163</v>
      </c>
      <c r="B11" s="543"/>
      <c r="C11" s="543"/>
      <c r="D11" s="543"/>
      <c r="E11" s="543"/>
      <c r="F11" s="543"/>
      <c r="G11" s="543"/>
      <c r="H11" s="543"/>
      <c r="I11" s="543"/>
      <c r="J11" s="543"/>
      <c r="K11" s="543"/>
      <c r="L11" s="543"/>
      <c r="M11" s="543"/>
      <c r="N11" s="543"/>
      <c r="O11" s="543"/>
      <c r="P11" s="543"/>
      <c r="Q11" s="544"/>
    </row>
    <row r="12" spans="1:17">
      <c r="A12" s="150"/>
      <c r="B12" s="149"/>
      <c r="C12" s="149"/>
      <c r="D12" s="149"/>
      <c r="E12" s="149"/>
      <c r="F12" s="149"/>
      <c r="G12" s="149"/>
      <c r="H12" s="149"/>
      <c r="I12" s="148"/>
      <c r="J12" s="148"/>
      <c r="K12" s="148"/>
      <c r="L12" s="148"/>
      <c r="M12" s="148"/>
      <c r="N12" s="148"/>
      <c r="O12" s="148"/>
      <c r="P12" s="148"/>
      <c r="Q12" s="147"/>
    </row>
    <row r="13" spans="1:17">
      <c r="A13" s="90"/>
      <c r="B13" s="90"/>
      <c r="C13" s="90"/>
      <c r="D13" s="90"/>
      <c r="E13" s="90"/>
      <c r="F13" s="90"/>
      <c r="G13" s="90"/>
      <c r="H13" s="90"/>
      <c r="I13" s="136"/>
      <c r="J13" s="136"/>
      <c r="K13" s="136"/>
      <c r="L13" s="136"/>
      <c r="M13" s="136"/>
      <c r="N13" s="136"/>
      <c r="O13" s="136"/>
      <c r="P13" s="136"/>
      <c r="Q13" s="136"/>
    </row>
    <row r="14" spans="1:17">
      <c r="A14" s="142" t="s">
        <v>162</v>
      </c>
      <c r="B14" s="136"/>
      <c r="C14" s="136"/>
      <c r="D14" s="136"/>
      <c r="E14" s="136"/>
      <c r="F14" s="136"/>
      <c r="G14" s="136"/>
      <c r="H14" s="136"/>
      <c r="I14" s="136"/>
      <c r="J14" s="136"/>
      <c r="K14" s="136"/>
      <c r="L14" s="136"/>
      <c r="M14" s="136"/>
      <c r="N14" s="136"/>
      <c r="O14" s="136"/>
      <c r="P14" s="136"/>
      <c r="Q14" s="136"/>
    </row>
    <row r="15" spans="1:17">
      <c r="A15" s="142" t="s">
        <v>161</v>
      </c>
      <c r="B15" s="136"/>
      <c r="C15" s="136"/>
      <c r="D15" s="136"/>
      <c r="E15" s="136"/>
      <c r="F15" s="136"/>
      <c r="G15" s="136"/>
      <c r="H15" s="136"/>
      <c r="I15" s="136"/>
      <c r="J15" s="136"/>
      <c r="K15" s="136"/>
      <c r="L15" s="136"/>
      <c r="M15" s="136"/>
      <c r="N15" s="136"/>
      <c r="O15" s="136"/>
      <c r="P15" s="136"/>
      <c r="Q15" s="136"/>
    </row>
    <row r="16" spans="1:17" ht="18.75" customHeight="1">
      <c r="A16" s="136"/>
      <c r="B16" s="529" t="s">
        <v>160</v>
      </c>
      <c r="C16" s="530"/>
      <c r="D16" s="530"/>
      <c r="E16" s="530"/>
      <c r="F16" s="530"/>
      <c r="G16" s="530"/>
      <c r="H16" s="530"/>
      <c r="I16" s="530"/>
      <c r="J16" s="530"/>
      <c r="K16" s="530"/>
      <c r="L16" s="530"/>
      <c r="M16" s="530"/>
      <c r="N16" s="531"/>
      <c r="O16" s="136"/>
      <c r="P16" s="136"/>
      <c r="Q16" s="136"/>
    </row>
    <row r="17" spans="1:17">
      <c r="A17" s="146"/>
      <c r="B17" s="146"/>
      <c r="C17" s="146"/>
      <c r="D17" s="146"/>
      <c r="E17" s="146"/>
      <c r="F17" s="146"/>
      <c r="G17" s="146"/>
      <c r="H17" s="146"/>
      <c r="I17" s="146"/>
      <c r="J17" s="146"/>
      <c r="K17" s="146"/>
      <c r="L17" s="146"/>
      <c r="M17" s="136"/>
      <c r="N17" s="136"/>
      <c r="O17" s="136"/>
      <c r="P17" s="136"/>
      <c r="Q17" s="136"/>
    </row>
    <row r="18" spans="1:17">
      <c r="A18" s="142" t="s">
        <v>159</v>
      </c>
      <c r="B18" s="136"/>
      <c r="C18" s="136"/>
      <c r="D18" s="136"/>
      <c r="E18" s="136"/>
      <c r="F18" s="136"/>
      <c r="G18" s="136"/>
      <c r="H18" s="136"/>
      <c r="I18" s="136"/>
      <c r="J18" s="136"/>
      <c r="K18" s="136"/>
      <c r="L18" s="136"/>
      <c r="M18" s="136"/>
      <c r="N18" s="136"/>
      <c r="O18" s="136"/>
      <c r="P18" s="136"/>
      <c r="Q18" s="136"/>
    </row>
    <row r="19" spans="1:17">
      <c r="A19" s="142" t="s">
        <v>158</v>
      </c>
      <c r="B19" s="136"/>
      <c r="C19" s="136"/>
      <c r="D19" s="136"/>
      <c r="E19" s="136"/>
      <c r="F19" s="136"/>
      <c r="G19" s="136"/>
      <c r="H19" s="136"/>
      <c r="I19" s="136"/>
      <c r="J19" s="136"/>
      <c r="K19" s="136"/>
      <c r="L19" s="136"/>
      <c r="M19" s="136"/>
      <c r="N19" s="136"/>
      <c r="O19" s="136"/>
      <c r="P19" s="136"/>
      <c r="Q19" s="136"/>
    </row>
    <row r="20" spans="1:17">
      <c r="A20" s="142" t="s">
        <v>157</v>
      </c>
      <c r="B20" s="136"/>
      <c r="C20" s="136"/>
      <c r="D20" s="136"/>
      <c r="E20" s="136"/>
      <c r="F20" s="136"/>
      <c r="G20" s="136"/>
      <c r="H20" s="136"/>
      <c r="I20" s="136"/>
      <c r="J20" s="136"/>
      <c r="K20" s="136"/>
      <c r="L20" s="136"/>
      <c r="M20" s="136"/>
      <c r="N20" s="136"/>
      <c r="O20" s="136"/>
      <c r="P20" s="136"/>
      <c r="Q20" s="136"/>
    </row>
    <row r="21" spans="1:17" ht="18.75" customHeight="1">
      <c r="A21" s="136"/>
      <c r="B21" s="529" t="s">
        <v>156</v>
      </c>
      <c r="C21" s="530"/>
      <c r="D21" s="530"/>
      <c r="E21" s="530"/>
      <c r="F21" s="530"/>
      <c r="G21" s="530"/>
      <c r="H21" s="530"/>
      <c r="I21" s="530"/>
      <c r="J21" s="530"/>
      <c r="K21" s="530"/>
      <c r="L21" s="530"/>
      <c r="M21" s="530"/>
      <c r="N21" s="531"/>
      <c r="O21" s="136"/>
      <c r="P21" s="136"/>
      <c r="Q21" s="136"/>
    </row>
    <row r="22" spans="1:17">
      <c r="A22" s="136"/>
      <c r="B22" s="136"/>
      <c r="C22" s="136"/>
      <c r="D22" s="136"/>
      <c r="E22" s="136"/>
      <c r="F22" s="136"/>
      <c r="G22" s="136"/>
      <c r="H22" s="136"/>
      <c r="I22" s="136"/>
      <c r="J22" s="136"/>
      <c r="K22" s="136"/>
      <c r="L22" s="136"/>
      <c r="M22" s="136"/>
      <c r="N22" s="136"/>
      <c r="O22" s="136"/>
      <c r="P22" s="136"/>
      <c r="Q22" s="136"/>
    </row>
    <row r="23" spans="1:17">
      <c r="A23" s="142" t="s">
        <v>155</v>
      </c>
      <c r="B23" s="136"/>
      <c r="C23" s="136"/>
      <c r="D23" s="136"/>
      <c r="E23" s="136"/>
      <c r="F23" s="136"/>
      <c r="G23" s="136"/>
      <c r="H23" s="136"/>
      <c r="I23" s="136"/>
      <c r="J23" s="136"/>
      <c r="K23" s="136"/>
      <c r="L23" s="136"/>
      <c r="M23" s="136"/>
      <c r="N23" s="136"/>
      <c r="O23" s="136"/>
      <c r="P23" s="136"/>
      <c r="Q23" s="136"/>
    </row>
    <row r="24" spans="1:17">
      <c r="A24" s="136"/>
      <c r="B24" s="568" t="s">
        <v>154</v>
      </c>
      <c r="C24" s="569"/>
      <c r="D24" s="557" t="s">
        <v>153</v>
      </c>
      <c r="E24" s="557"/>
      <c r="F24" s="557"/>
      <c r="G24" s="557"/>
      <c r="H24" s="557"/>
      <c r="I24" s="557"/>
      <c r="J24" s="557"/>
      <c r="K24" s="557"/>
      <c r="L24" s="557"/>
      <c r="M24" s="557"/>
      <c r="N24" s="558"/>
      <c r="O24" s="136"/>
      <c r="P24" s="136"/>
      <c r="Q24" s="136"/>
    </row>
    <row r="25" spans="1:17">
      <c r="A25" s="136"/>
      <c r="B25" s="566" t="s">
        <v>152</v>
      </c>
      <c r="C25" s="567"/>
      <c r="D25" s="561" t="s">
        <v>151</v>
      </c>
      <c r="E25" s="561"/>
      <c r="F25" s="561"/>
      <c r="G25" s="561"/>
      <c r="H25" s="561"/>
      <c r="I25" s="561"/>
      <c r="J25" s="561"/>
      <c r="K25" s="561"/>
      <c r="L25" s="561"/>
      <c r="M25" s="561"/>
      <c r="N25" s="562"/>
      <c r="O25" s="136"/>
      <c r="P25" s="136"/>
      <c r="Q25" s="136"/>
    </row>
    <row r="26" spans="1:17">
      <c r="A26" s="136"/>
      <c r="B26" s="145"/>
      <c r="C26" s="136"/>
      <c r="D26" s="561" t="s">
        <v>150</v>
      </c>
      <c r="E26" s="561"/>
      <c r="F26" s="561"/>
      <c r="G26" s="561"/>
      <c r="H26" s="561"/>
      <c r="I26" s="561"/>
      <c r="J26" s="561"/>
      <c r="K26" s="561"/>
      <c r="L26" s="561"/>
      <c r="M26" s="561"/>
      <c r="N26" s="562"/>
      <c r="O26" s="136"/>
      <c r="P26" s="136"/>
      <c r="Q26" s="136"/>
    </row>
    <row r="27" spans="1:17">
      <c r="A27" s="136"/>
      <c r="B27" s="145"/>
      <c r="C27" s="136"/>
      <c r="D27" s="561" t="s">
        <v>149</v>
      </c>
      <c r="E27" s="561"/>
      <c r="F27" s="561"/>
      <c r="G27" s="561"/>
      <c r="H27" s="561"/>
      <c r="I27" s="561"/>
      <c r="J27" s="561"/>
      <c r="K27" s="561"/>
      <c r="L27" s="561"/>
      <c r="M27" s="561"/>
      <c r="N27" s="562"/>
      <c r="O27" s="136"/>
      <c r="P27" s="136"/>
      <c r="Q27" s="136"/>
    </row>
    <row r="28" spans="1:17">
      <c r="A28" s="136"/>
      <c r="B28" s="144"/>
      <c r="C28" s="143"/>
      <c r="D28" s="559" t="s">
        <v>148</v>
      </c>
      <c r="E28" s="559"/>
      <c r="F28" s="559"/>
      <c r="G28" s="559"/>
      <c r="H28" s="559"/>
      <c r="I28" s="559"/>
      <c r="J28" s="559"/>
      <c r="K28" s="559"/>
      <c r="L28" s="559"/>
      <c r="M28" s="559"/>
      <c r="N28" s="560"/>
      <c r="O28" s="136"/>
      <c r="P28" s="136"/>
      <c r="Q28" s="136"/>
    </row>
    <row r="29" spans="1:17">
      <c r="A29" s="136"/>
      <c r="B29" s="136"/>
      <c r="C29" s="136"/>
      <c r="D29" s="136"/>
      <c r="E29" s="136"/>
      <c r="F29" s="136"/>
      <c r="G29" s="136"/>
      <c r="H29" s="136"/>
      <c r="I29" s="136"/>
      <c r="J29" s="136"/>
      <c r="K29" s="136"/>
      <c r="L29" s="136"/>
      <c r="M29" s="136"/>
      <c r="N29" s="136"/>
      <c r="O29" s="136"/>
      <c r="P29" s="136"/>
      <c r="Q29" s="136"/>
    </row>
    <row r="30" spans="1:17">
      <c r="A30" s="142" t="s">
        <v>147</v>
      </c>
      <c r="B30" s="136"/>
      <c r="C30" s="136"/>
      <c r="D30" s="136"/>
      <c r="E30" s="136"/>
      <c r="F30" s="136"/>
      <c r="G30" s="136"/>
      <c r="H30" s="136"/>
      <c r="I30" s="136"/>
      <c r="J30" s="136"/>
      <c r="K30" s="136"/>
      <c r="L30" s="136"/>
      <c r="M30" s="136"/>
      <c r="N30" s="136"/>
      <c r="O30" s="136"/>
      <c r="P30" s="136"/>
      <c r="Q30" s="136"/>
    </row>
    <row r="31" spans="1:17" ht="18.75" customHeight="1">
      <c r="A31" s="136"/>
      <c r="B31" s="529" t="s">
        <v>146</v>
      </c>
      <c r="C31" s="530"/>
      <c r="D31" s="530"/>
      <c r="E31" s="530"/>
      <c r="F31" s="530"/>
      <c r="G31" s="530"/>
      <c r="H31" s="530"/>
      <c r="I31" s="530"/>
      <c r="J31" s="530"/>
      <c r="K31" s="530"/>
      <c r="L31" s="530"/>
      <c r="M31" s="530"/>
      <c r="N31" s="531"/>
      <c r="O31" s="136"/>
      <c r="P31" s="136"/>
      <c r="Q31" s="136"/>
    </row>
    <row r="32" spans="1:17">
      <c r="A32" s="136"/>
      <c r="B32" s="136"/>
      <c r="C32" s="136"/>
      <c r="D32" s="136"/>
      <c r="E32" s="136"/>
      <c r="F32" s="136"/>
      <c r="G32" s="136"/>
      <c r="H32" s="136"/>
      <c r="I32" s="136"/>
      <c r="J32" s="136"/>
      <c r="K32" s="136"/>
      <c r="L32" s="136"/>
      <c r="M32" s="136"/>
      <c r="N32" s="136"/>
      <c r="O32" s="136"/>
      <c r="P32" s="136"/>
      <c r="Q32" s="136"/>
    </row>
    <row r="33" spans="1:17">
      <c r="A33" s="136"/>
      <c r="B33" s="136" t="s">
        <v>145</v>
      </c>
      <c r="C33" s="136"/>
      <c r="D33" s="136"/>
      <c r="E33" s="136"/>
      <c r="F33" s="136"/>
      <c r="G33" s="136"/>
      <c r="H33" s="136"/>
      <c r="I33" s="136"/>
      <c r="J33" s="136"/>
      <c r="K33" s="136"/>
      <c r="L33" s="136"/>
      <c r="M33" s="136"/>
      <c r="N33" s="136"/>
      <c r="O33" s="136"/>
      <c r="P33" s="136"/>
      <c r="Q33" s="136"/>
    </row>
    <row r="34" spans="1:17" ht="17.25" customHeight="1">
      <c r="A34" s="136"/>
      <c r="B34" s="136"/>
      <c r="C34" s="136"/>
      <c r="D34" s="527" t="s">
        <v>144</v>
      </c>
      <c r="E34" s="563" t="s">
        <v>143</v>
      </c>
      <c r="F34" s="564"/>
      <c r="G34" s="565"/>
      <c r="H34" s="136"/>
      <c r="I34" s="136"/>
      <c r="J34" s="136"/>
      <c r="K34" s="136"/>
      <c r="L34" s="136"/>
      <c r="M34" s="136"/>
      <c r="N34" s="136"/>
      <c r="O34" s="136"/>
      <c r="P34" s="136"/>
      <c r="Q34" s="136"/>
    </row>
    <row r="35" spans="1:17" ht="17.25" customHeight="1" thickBot="1">
      <c r="A35" s="136"/>
      <c r="B35" s="136"/>
      <c r="C35" s="136"/>
      <c r="D35" s="528"/>
      <c r="E35" s="554" t="s">
        <v>142</v>
      </c>
      <c r="F35" s="555"/>
      <c r="G35" s="556"/>
      <c r="H35" s="136"/>
      <c r="I35" s="136"/>
      <c r="J35" s="136"/>
      <c r="K35" s="136"/>
      <c r="L35" s="136"/>
      <c r="M35" s="136"/>
      <c r="N35" s="136"/>
      <c r="O35" s="136"/>
      <c r="P35" s="136"/>
      <c r="Q35" s="136"/>
    </row>
    <row r="36" spans="1:17" ht="18" customHeight="1" thickTop="1">
      <c r="A36" s="136"/>
      <c r="B36" s="136"/>
      <c r="C36" s="136"/>
      <c r="D36" s="141" t="s">
        <v>141</v>
      </c>
      <c r="E36" s="551">
        <v>22</v>
      </c>
      <c r="F36" s="552"/>
      <c r="G36" s="553"/>
      <c r="H36" s="136"/>
      <c r="I36" s="136"/>
      <c r="J36" s="136"/>
      <c r="K36" s="136"/>
      <c r="L36" s="136"/>
      <c r="M36" s="136"/>
      <c r="N36" s="136"/>
      <c r="O36" s="136"/>
      <c r="P36" s="136"/>
      <c r="Q36" s="136"/>
    </row>
    <row r="37" spans="1:17" ht="18" customHeight="1">
      <c r="A37" s="136"/>
      <c r="B37" s="136"/>
      <c r="C37" s="136"/>
      <c r="D37" s="140" t="s">
        <v>140</v>
      </c>
      <c r="E37" s="548">
        <v>39</v>
      </c>
      <c r="F37" s="549"/>
      <c r="G37" s="550"/>
      <c r="H37" s="136"/>
      <c r="I37" s="136"/>
      <c r="J37" s="136"/>
      <c r="K37" s="136"/>
      <c r="L37" s="136"/>
      <c r="M37" s="136"/>
      <c r="N37" s="136"/>
      <c r="O37" s="136"/>
      <c r="P37" s="136"/>
      <c r="Q37" s="136"/>
    </row>
    <row r="38" spans="1:17" ht="18" customHeight="1">
      <c r="A38" s="136"/>
      <c r="B38" s="136"/>
      <c r="C38" s="136"/>
      <c r="D38" s="140" t="s">
        <v>139</v>
      </c>
      <c r="E38" s="545">
        <v>1490</v>
      </c>
      <c r="F38" s="546"/>
      <c r="G38" s="547"/>
      <c r="H38" s="136"/>
      <c r="I38" s="136"/>
      <c r="J38" s="136"/>
      <c r="K38" s="136"/>
      <c r="L38" s="136"/>
      <c r="M38" s="136"/>
      <c r="N38" s="136"/>
      <c r="O38" s="136"/>
      <c r="P38" s="136"/>
      <c r="Q38" s="136"/>
    </row>
    <row r="39" spans="1:17" ht="15" customHeight="1">
      <c r="A39" s="136"/>
      <c r="B39" s="136"/>
      <c r="C39" s="91" t="s">
        <v>88</v>
      </c>
      <c r="D39" s="608" t="s">
        <v>138</v>
      </c>
      <c r="E39" s="608"/>
      <c r="F39" s="608"/>
      <c r="G39" s="608"/>
      <c r="H39" s="608"/>
      <c r="I39" s="608"/>
      <c r="J39" s="608"/>
      <c r="K39" s="608"/>
      <c r="L39" s="608"/>
      <c r="M39" s="608"/>
      <c r="N39" s="608"/>
      <c r="O39" s="608"/>
      <c r="P39" s="138"/>
      <c r="Q39" s="138"/>
    </row>
    <row r="40" spans="1:17" ht="15" customHeight="1">
      <c r="A40" s="139"/>
      <c r="B40" s="136"/>
      <c r="C40" s="136"/>
      <c r="D40" s="608"/>
      <c r="E40" s="608"/>
      <c r="F40" s="608"/>
      <c r="G40" s="608"/>
      <c r="H40" s="608"/>
      <c r="I40" s="608"/>
      <c r="J40" s="608"/>
      <c r="K40" s="608"/>
      <c r="L40" s="608"/>
      <c r="M40" s="608"/>
      <c r="N40" s="608"/>
      <c r="O40" s="608"/>
      <c r="P40" s="138"/>
      <c r="Q40" s="138"/>
    </row>
    <row r="41" spans="1:17" ht="15" customHeight="1">
      <c r="A41" s="139"/>
      <c r="B41" s="136"/>
      <c r="C41" s="136"/>
      <c r="D41" s="608"/>
      <c r="E41" s="608"/>
      <c r="F41" s="608"/>
      <c r="G41" s="608"/>
      <c r="H41" s="608"/>
      <c r="I41" s="608"/>
      <c r="J41" s="608"/>
      <c r="K41" s="608"/>
      <c r="L41" s="608"/>
      <c r="M41" s="608"/>
      <c r="N41" s="608"/>
      <c r="O41" s="608"/>
      <c r="P41" s="138"/>
      <c r="Q41" s="138"/>
    </row>
    <row r="42" spans="1:17">
      <c r="A42" s="136"/>
      <c r="B42" s="136"/>
      <c r="C42" s="91" t="s">
        <v>79</v>
      </c>
      <c r="D42" s="137" t="s">
        <v>137</v>
      </c>
      <c r="E42" s="136"/>
      <c r="F42" s="136"/>
      <c r="G42" s="136"/>
      <c r="H42" s="136"/>
      <c r="I42" s="136"/>
      <c r="J42" s="136"/>
      <c r="K42" s="136"/>
      <c r="L42" s="136"/>
      <c r="M42" s="136"/>
      <c r="N42" s="136"/>
      <c r="O42" s="136"/>
      <c r="P42" s="136"/>
      <c r="Q42" s="136"/>
    </row>
    <row r="43" spans="1:17">
      <c r="A43" s="136"/>
      <c r="B43" s="136"/>
      <c r="C43" s="136"/>
      <c r="D43" s="136"/>
      <c r="E43" s="136"/>
      <c r="F43" s="136"/>
      <c r="G43" s="136"/>
      <c r="H43" s="136"/>
      <c r="I43" s="136"/>
      <c r="J43" s="136"/>
      <c r="K43" s="136"/>
      <c r="L43" s="136"/>
      <c r="M43" s="136"/>
      <c r="N43" s="136"/>
      <c r="O43" s="136"/>
      <c r="P43" s="136"/>
      <c r="Q43" s="136"/>
    </row>
    <row r="44" spans="1:17" ht="14.25" thickBot="1">
      <c r="A44" s="609" t="s">
        <v>136</v>
      </c>
      <c r="B44" s="609"/>
      <c r="C44" s="609"/>
      <c r="D44" s="609"/>
      <c r="E44" s="609"/>
      <c r="F44" s="609"/>
      <c r="G44" s="609"/>
      <c r="H44" s="609"/>
      <c r="I44" s="609"/>
      <c r="J44" s="609"/>
      <c r="K44" s="609"/>
      <c r="L44" s="609"/>
      <c r="M44" s="609"/>
      <c r="N44" s="609"/>
      <c r="O44" s="609"/>
      <c r="P44" s="609"/>
      <c r="Q44" s="609"/>
    </row>
    <row r="45" spans="1:17" ht="28.5" customHeight="1">
      <c r="A45" s="532" t="s">
        <v>135</v>
      </c>
      <c r="B45" s="532" t="s">
        <v>134</v>
      </c>
      <c r="C45" s="536" t="s">
        <v>133</v>
      </c>
      <c r="D45" s="537"/>
      <c r="E45" s="536" t="s">
        <v>132</v>
      </c>
      <c r="F45" s="538"/>
      <c r="G45" s="536" t="s">
        <v>131</v>
      </c>
      <c r="H45" s="537"/>
      <c r="I45" s="537"/>
      <c r="J45" s="537"/>
      <c r="K45" s="537"/>
      <c r="L45" s="537"/>
      <c r="M45" s="537"/>
      <c r="N45" s="537"/>
      <c r="O45" s="532" t="s">
        <v>130</v>
      </c>
      <c r="P45" s="532" t="s">
        <v>129</v>
      </c>
      <c r="Q45" s="532" t="s">
        <v>128</v>
      </c>
    </row>
    <row r="46" spans="1:17" ht="18.75" customHeight="1">
      <c r="A46" s="533"/>
      <c r="B46" s="533"/>
      <c r="C46" s="534"/>
      <c r="D46" s="535"/>
      <c r="E46" s="534"/>
      <c r="F46" s="539"/>
      <c r="G46" s="534" t="s">
        <v>127</v>
      </c>
      <c r="H46" s="535"/>
      <c r="I46" s="535"/>
      <c r="J46" s="535"/>
      <c r="K46" s="535"/>
      <c r="L46" s="535"/>
      <c r="M46" s="535"/>
      <c r="N46" s="535"/>
      <c r="O46" s="533"/>
      <c r="P46" s="533"/>
      <c r="Q46" s="533"/>
    </row>
    <row r="47" spans="1:17" ht="18.75" customHeight="1">
      <c r="A47" s="533"/>
      <c r="B47" s="533"/>
      <c r="C47" s="597"/>
      <c r="D47" s="603" t="s">
        <v>126</v>
      </c>
      <c r="E47" s="572" t="s">
        <v>121</v>
      </c>
      <c r="F47" s="574" t="s">
        <v>120</v>
      </c>
      <c r="G47" s="584" t="s">
        <v>125</v>
      </c>
      <c r="H47" s="585"/>
      <c r="I47" s="589">
        <v>0.1</v>
      </c>
      <c r="J47" s="540">
        <v>0.2</v>
      </c>
      <c r="K47" s="540">
        <v>0.4</v>
      </c>
      <c r="L47" s="540">
        <v>0.6</v>
      </c>
      <c r="M47" s="540">
        <v>0.8</v>
      </c>
      <c r="N47" s="582">
        <v>1</v>
      </c>
      <c r="O47" s="112" t="s">
        <v>124</v>
      </c>
      <c r="P47" s="112" t="s">
        <v>123</v>
      </c>
      <c r="Q47" s="135" t="s">
        <v>122</v>
      </c>
    </row>
    <row r="48" spans="1:17" ht="18.75" customHeight="1" thickBot="1">
      <c r="A48" s="602"/>
      <c r="B48" s="602"/>
      <c r="C48" s="598"/>
      <c r="D48" s="604"/>
      <c r="E48" s="573"/>
      <c r="F48" s="575"/>
      <c r="G48" s="134" t="s">
        <v>121</v>
      </c>
      <c r="H48" s="133" t="s">
        <v>120</v>
      </c>
      <c r="I48" s="590"/>
      <c r="J48" s="541"/>
      <c r="K48" s="541"/>
      <c r="L48" s="541"/>
      <c r="M48" s="541"/>
      <c r="N48" s="583"/>
      <c r="O48" s="132" t="s">
        <v>119</v>
      </c>
      <c r="P48" s="132" t="s">
        <v>91</v>
      </c>
      <c r="Q48" s="131" t="s">
        <v>118</v>
      </c>
    </row>
    <row r="49" spans="1:23" ht="32.25" customHeight="1" thickTop="1">
      <c r="A49" s="113" t="s">
        <v>116</v>
      </c>
      <c r="B49" s="607" t="s">
        <v>117</v>
      </c>
      <c r="C49" s="130" t="s">
        <v>116</v>
      </c>
      <c r="D49" s="126">
        <v>350</v>
      </c>
      <c r="E49" s="123">
        <v>0.41</v>
      </c>
      <c r="F49" s="122">
        <v>0.1</v>
      </c>
      <c r="G49" s="109">
        <v>0.74099999999999999</v>
      </c>
      <c r="H49" s="125">
        <v>2.74</v>
      </c>
      <c r="I49" s="107">
        <v>2.74</v>
      </c>
      <c r="J49" s="106">
        <v>1.44</v>
      </c>
      <c r="K49" s="106">
        <v>0.75800000000000001</v>
      </c>
      <c r="L49" s="106">
        <v>0.52100000000000002</v>
      </c>
      <c r="M49" s="106">
        <v>0.39900000000000002</v>
      </c>
      <c r="N49" s="104">
        <v>0.32400000000000001</v>
      </c>
      <c r="O49" s="599">
        <v>34.6</v>
      </c>
      <c r="P49" s="599">
        <v>1.83E-2</v>
      </c>
      <c r="Q49" s="605">
        <v>2.3216600000000001</v>
      </c>
    </row>
    <row r="50" spans="1:23" ht="32.25" customHeight="1">
      <c r="A50" s="113" t="s">
        <v>113</v>
      </c>
      <c r="B50" s="533"/>
      <c r="C50" s="129">
        <v>1999</v>
      </c>
      <c r="D50" s="110">
        <v>1000</v>
      </c>
      <c r="E50" s="123">
        <v>0.32</v>
      </c>
      <c r="F50" s="122">
        <v>0.1</v>
      </c>
      <c r="G50" s="109">
        <v>0.47199999999999998</v>
      </c>
      <c r="H50" s="125">
        <v>1.39</v>
      </c>
      <c r="I50" s="107">
        <v>1.39</v>
      </c>
      <c r="J50" s="119">
        <v>0.73</v>
      </c>
      <c r="K50" s="106">
        <v>0.38400000000000001</v>
      </c>
      <c r="L50" s="106">
        <v>0.26400000000000001</v>
      </c>
      <c r="M50" s="106">
        <v>0.20200000000000001</v>
      </c>
      <c r="N50" s="104">
        <v>0.16400000000000001</v>
      </c>
      <c r="O50" s="587"/>
      <c r="P50" s="587"/>
      <c r="Q50" s="595"/>
    </row>
    <row r="51" spans="1:23" ht="32.25" customHeight="1" thickBot="1">
      <c r="A51" s="102" t="s">
        <v>109</v>
      </c>
      <c r="B51" s="601"/>
      <c r="C51" s="128">
        <v>2000</v>
      </c>
      <c r="D51" s="100">
        <v>2000</v>
      </c>
      <c r="E51" s="99">
        <v>0.52</v>
      </c>
      <c r="F51" s="98">
        <v>0.24</v>
      </c>
      <c r="G51" s="97">
        <v>0.192</v>
      </c>
      <c r="H51" s="96">
        <v>0.39400000000000002</v>
      </c>
      <c r="I51" s="95">
        <v>0.88600000000000001</v>
      </c>
      <c r="J51" s="94">
        <v>0.46600000000000003</v>
      </c>
      <c r="K51" s="94">
        <v>0.245</v>
      </c>
      <c r="L51" s="94">
        <v>0.16800000000000001</v>
      </c>
      <c r="M51" s="94">
        <v>0.129</v>
      </c>
      <c r="N51" s="93">
        <v>0.105</v>
      </c>
      <c r="O51" s="600"/>
      <c r="P51" s="600"/>
      <c r="Q51" s="606"/>
      <c r="S51" s="127" t="s">
        <v>115</v>
      </c>
      <c r="T51" s="103" t="s">
        <v>114</v>
      </c>
    </row>
    <row r="52" spans="1:23" ht="32.25" customHeight="1" thickBot="1">
      <c r="A52" s="113" t="s">
        <v>113</v>
      </c>
      <c r="B52" s="532" t="s">
        <v>112</v>
      </c>
      <c r="C52" s="111" t="s">
        <v>111</v>
      </c>
      <c r="D52" s="126">
        <v>500</v>
      </c>
      <c r="E52" s="123">
        <v>0.36</v>
      </c>
      <c r="F52" s="122">
        <v>0.1</v>
      </c>
      <c r="G52" s="109">
        <v>0.59199999999999997</v>
      </c>
      <c r="H52" s="125">
        <v>1.67</v>
      </c>
      <c r="I52" s="107">
        <v>1.67</v>
      </c>
      <c r="J52" s="106">
        <v>0.95399999999999996</v>
      </c>
      <c r="K52" s="106">
        <v>0.54300000000000004</v>
      </c>
      <c r="L52" s="106">
        <v>0.39100000000000001</v>
      </c>
      <c r="M52" s="106">
        <v>0.309</v>
      </c>
      <c r="N52" s="104">
        <v>0.25800000000000001</v>
      </c>
      <c r="O52" s="586">
        <v>37.700000000000003</v>
      </c>
      <c r="P52" s="586">
        <v>1.8700000000000001E-2</v>
      </c>
      <c r="Q52" s="594">
        <v>2.5849633333333299</v>
      </c>
      <c r="S52" s="87" t="s">
        <v>110</v>
      </c>
    </row>
    <row r="53" spans="1:23" ht="32.25" customHeight="1" thickBot="1">
      <c r="A53" s="113" t="s">
        <v>109</v>
      </c>
      <c r="B53" s="533"/>
      <c r="C53" s="111" t="s">
        <v>108</v>
      </c>
      <c r="D53" s="110">
        <v>1500</v>
      </c>
      <c r="E53" s="123">
        <v>0.42</v>
      </c>
      <c r="F53" s="122">
        <v>0.17</v>
      </c>
      <c r="G53" s="109">
        <v>0.255</v>
      </c>
      <c r="H53" s="124">
        <v>0.53</v>
      </c>
      <c r="I53" s="107">
        <v>0.81599999999999995</v>
      </c>
      <c r="J53" s="106">
        <v>0.46500000000000002</v>
      </c>
      <c r="K53" s="106">
        <v>0.26500000000000001</v>
      </c>
      <c r="L53" s="106">
        <v>0.191</v>
      </c>
      <c r="M53" s="106">
        <v>0.151</v>
      </c>
      <c r="N53" s="104">
        <v>0.126</v>
      </c>
      <c r="O53" s="587"/>
      <c r="P53" s="587"/>
      <c r="Q53" s="595"/>
      <c r="T53" s="120">
        <v>6000</v>
      </c>
      <c r="U53" s="87" t="s">
        <v>105</v>
      </c>
    </row>
    <row r="54" spans="1:23" ht="32.25" customHeight="1" thickBot="1">
      <c r="A54" s="113"/>
      <c r="B54" s="533"/>
      <c r="C54" s="111" t="s">
        <v>107</v>
      </c>
      <c r="D54" s="110">
        <v>3000</v>
      </c>
      <c r="E54" s="123">
        <v>0.57999999999999996</v>
      </c>
      <c r="F54" s="122">
        <v>0.39</v>
      </c>
      <c r="G54" s="109">
        <v>0.124</v>
      </c>
      <c r="H54" s="117">
        <v>0.17199999999999999</v>
      </c>
      <c r="I54" s="107">
        <v>0.51900000000000002</v>
      </c>
      <c r="J54" s="106">
        <v>0.29499999999999998</v>
      </c>
      <c r="K54" s="106">
        <v>0.16800000000000001</v>
      </c>
      <c r="L54" s="106">
        <v>0.121</v>
      </c>
      <c r="M54" s="106">
        <v>9.5799999999999996E-2</v>
      </c>
      <c r="N54" s="116">
        <v>0.08</v>
      </c>
      <c r="O54" s="587"/>
      <c r="P54" s="587"/>
      <c r="Q54" s="595"/>
      <c r="S54" s="121" t="s">
        <v>106</v>
      </c>
      <c r="T54" s="89">
        <f>VLOOKUP(T53,T60:U67,2)</f>
        <v>7000</v>
      </c>
      <c r="U54" s="87" t="s">
        <v>105</v>
      </c>
    </row>
    <row r="55" spans="1:23" ht="32.25" customHeight="1" thickBot="1">
      <c r="A55" s="113"/>
      <c r="B55" s="533"/>
      <c r="C55" s="111" t="s">
        <v>104</v>
      </c>
      <c r="D55" s="110">
        <v>5000</v>
      </c>
      <c r="E55" s="576">
        <v>0.62</v>
      </c>
      <c r="F55" s="579">
        <v>0.49</v>
      </c>
      <c r="G55" s="109">
        <v>8.4400000000000003E-2</v>
      </c>
      <c r="H55" s="117">
        <v>0.10199999999999999</v>
      </c>
      <c r="I55" s="107">
        <v>0.371</v>
      </c>
      <c r="J55" s="106">
        <v>0.21199999999999999</v>
      </c>
      <c r="K55" s="119">
        <v>0.12</v>
      </c>
      <c r="L55" s="106">
        <v>8.6699999999999999E-2</v>
      </c>
      <c r="M55" s="106">
        <v>6.8599999999999994E-2</v>
      </c>
      <c r="N55" s="104">
        <v>5.7299999999999997E-2</v>
      </c>
      <c r="O55" s="587"/>
      <c r="P55" s="587"/>
      <c r="Q55" s="595"/>
      <c r="S55" s="121" t="s">
        <v>103</v>
      </c>
      <c r="T55" s="120">
        <v>100</v>
      </c>
      <c r="U55" s="87" t="s">
        <v>102</v>
      </c>
    </row>
    <row r="56" spans="1:23" ht="32.25" customHeight="1" thickBot="1">
      <c r="A56" s="113"/>
      <c r="B56" s="533"/>
      <c r="C56" s="111" t="s">
        <v>101</v>
      </c>
      <c r="D56" s="110">
        <v>7000</v>
      </c>
      <c r="E56" s="577"/>
      <c r="F56" s="580"/>
      <c r="G56" s="109">
        <v>6.7699999999999996E-2</v>
      </c>
      <c r="H56" s="108">
        <v>8.2000000000000003E-2</v>
      </c>
      <c r="I56" s="107">
        <v>0.29799999999999999</v>
      </c>
      <c r="J56" s="119">
        <v>0.17</v>
      </c>
      <c r="K56" s="106">
        <v>9.6699999999999994E-2</v>
      </c>
      <c r="L56" s="106">
        <v>6.9599999999999995E-2</v>
      </c>
      <c r="M56" s="106">
        <v>5.5100000000000003E-2</v>
      </c>
      <c r="N56" s="104">
        <v>4.5900000000000003E-2</v>
      </c>
      <c r="O56" s="587"/>
      <c r="P56" s="587"/>
      <c r="Q56" s="595"/>
      <c r="S56" s="103" t="s">
        <v>100</v>
      </c>
      <c r="T56" s="87" t="s">
        <v>99</v>
      </c>
      <c r="U56" s="87" t="s">
        <v>98</v>
      </c>
      <c r="V56" s="118" t="s">
        <v>97</v>
      </c>
      <c r="W56" s="87" t="s">
        <v>96</v>
      </c>
    </row>
    <row r="57" spans="1:23" ht="32.25" customHeight="1" thickBot="1">
      <c r="A57" s="113"/>
      <c r="B57" s="533"/>
      <c r="C57" s="111" t="s">
        <v>95</v>
      </c>
      <c r="D57" s="110">
        <v>9000</v>
      </c>
      <c r="E57" s="577"/>
      <c r="F57" s="580"/>
      <c r="G57" s="109">
        <v>5.7500000000000002E-2</v>
      </c>
      <c r="H57" s="117">
        <v>6.9599999999999995E-2</v>
      </c>
      <c r="I57" s="107">
        <v>0.253</v>
      </c>
      <c r="J57" s="106">
        <v>0.14399999999999999</v>
      </c>
      <c r="K57" s="105">
        <v>8.2000000000000003E-2</v>
      </c>
      <c r="L57" s="106">
        <v>5.8999999999999997E-2</v>
      </c>
      <c r="M57" s="106">
        <v>4.6699999999999998E-2</v>
      </c>
      <c r="N57" s="116">
        <v>3.9E-2</v>
      </c>
      <c r="O57" s="587"/>
      <c r="P57" s="587"/>
      <c r="Q57" s="595"/>
      <c r="S57" s="115">
        <f>ROUND(EXP(2.71-0.812*LN(T55/100)-0.654*LN(T54)),4)</f>
        <v>4.5900000000000003E-2</v>
      </c>
      <c r="T57" s="87">
        <v>37.700000000000003</v>
      </c>
      <c r="U57" s="87">
        <v>1.8700000000000001E-2</v>
      </c>
      <c r="V57" s="87">
        <f>44/12</f>
        <v>3.6666666666666665</v>
      </c>
      <c r="W57" s="114">
        <f>S57*T57*U57*V57/1000</f>
        <v>1.1864981700000004E-4</v>
      </c>
    </row>
    <row r="58" spans="1:23" ht="32.25" customHeight="1">
      <c r="A58" s="113"/>
      <c r="B58" s="533"/>
      <c r="C58" s="111" t="s">
        <v>94</v>
      </c>
      <c r="D58" s="110">
        <v>11000</v>
      </c>
      <c r="E58" s="577"/>
      <c r="F58" s="580"/>
      <c r="G58" s="109">
        <v>5.04E-2</v>
      </c>
      <c r="H58" s="108">
        <v>6.0999999999999999E-2</v>
      </c>
      <c r="I58" s="107">
        <v>0.222</v>
      </c>
      <c r="J58" s="106">
        <v>0.126</v>
      </c>
      <c r="K58" s="106">
        <v>7.1900000000000006E-2</v>
      </c>
      <c r="L58" s="106">
        <v>5.1799999999999999E-2</v>
      </c>
      <c r="M58" s="105">
        <v>4.1000000000000002E-2</v>
      </c>
      <c r="N58" s="104">
        <v>3.4200000000000001E-2</v>
      </c>
      <c r="O58" s="587"/>
      <c r="P58" s="587"/>
      <c r="Q58" s="595"/>
      <c r="S58" s="103" t="s">
        <v>93</v>
      </c>
      <c r="T58" s="103" t="s">
        <v>92</v>
      </c>
      <c r="U58" s="87" t="s">
        <v>91</v>
      </c>
      <c r="W58" s="87" t="s">
        <v>90</v>
      </c>
    </row>
    <row r="59" spans="1:23" ht="32.25" customHeight="1" thickBot="1">
      <c r="A59" s="102"/>
      <c r="B59" s="601"/>
      <c r="C59" s="101" t="s">
        <v>89</v>
      </c>
      <c r="D59" s="100">
        <v>14500</v>
      </c>
      <c r="E59" s="578"/>
      <c r="F59" s="581"/>
      <c r="G59" s="97">
        <v>4.2099999999999999E-2</v>
      </c>
      <c r="H59" s="96">
        <v>5.0900000000000001E-2</v>
      </c>
      <c r="I59" s="95">
        <v>0.185</v>
      </c>
      <c r="J59" s="94">
        <v>0.105</v>
      </c>
      <c r="K59" s="94">
        <v>6.0100000000000001E-2</v>
      </c>
      <c r="L59" s="94">
        <v>4.3200000000000002E-2</v>
      </c>
      <c r="M59" s="94">
        <v>3.4200000000000001E-2</v>
      </c>
      <c r="N59" s="93">
        <v>2.8500000000000001E-2</v>
      </c>
      <c r="O59" s="588"/>
      <c r="P59" s="588"/>
      <c r="Q59" s="596"/>
    </row>
    <row r="60" spans="1:23">
      <c r="A60" s="91" t="s">
        <v>88</v>
      </c>
      <c r="B60" s="571" t="s">
        <v>87</v>
      </c>
      <c r="C60" s="571"/>
      <c r="D60" s="571"/>
      <c r="E60" s="571"/>
      <c r="F60" s="571"/>
      <c r="G60" s="571"/>
      <c r="H60" s="571"/>
      <c r="I60" s="571"/>
      <c r="J60" s="571"/>
      <c r="K60" s="571"/>
      <c r="L60" s="571"/>
      <c r="M60" s="571"/>
      <c r="N60" s="571"/>
      <c r="O60" s="571"/>
      <c r="P60" s="571"/>
      <c r="Q60" s="571"/>
      <c r="T60" s="89">
        <v>0</v>
      </c>
      <c r="U60" s="89">
        <v>500</v>
      </c>
    </row>
    <row r="61" spans="1:23">
      <c r="A61" s="91" t="s">
        <v>86</v>
      </c>
      <c r="B61" s="570" t="s">
        <v>85</v>
      </c>
      <c r="C61" s="570"/>
      <c r="D61" s="570"/>
      <c r="E61" s="570"/>
      <c r="F61" s="570"/>
      <c r="G61" s="570"/>
      <c r="H61" s="570"/>
      <c r="I61" s="570"/>
      <c r="J61" s="570"/>
      <c r="K61" s="570"/>
      <c r="L61" s="570"/>
      <c r="M61" s="570"/>
      <c r="N61" s="570"/>
      <c r="O61" s="570"/>
      <c r="P61" s="570"/>
      <c r="Q61" s="570"/>
      <c r="T61" s="89">
        <v>1000</v>
      </c>
      <c r="U61" s="89">
        <v>1500</v>
      </c>
    </row>
    <row r="62" spans="1:23">
      <c r="A62" s="92"/>
      <c r="B62" s="570"/>
      <c r="C62" s="570"/>
      <c r="D62" s="570"/>
      <c r="E62" s="570"/>
      <c r="F62" s="570"/>
      <c r="G62" s="570"/>
      <c r="H62" s="570"/>
      <c r="I62" s="570"/>
      <c r="J62" s="570"/>
      <c r="K62" s="570"/>
      <c r="L62" s="570"/>
      <c r="M62" s="570"/>
      <c r="N62" s="570"/>
      <c r="O62" s="570"/>
      <c r="P62" s="570"/>
      <c r="Q62" s="570"/>
      <c r="T62" s="89">
        <v>2000</v>
      </c>
      <c r="U62" s="89">
        <v>3000</v>
      </c>
    </row>
    <row r="63" spans="1:23">
      <c r="A63" s="91" t="s">
        <v>84</v>
      </c>
      <c r="B63" s="570" t="s">
        <v>83</v>
      </c>
      <c r="C63" s="570"/>
      <c r="D63" s="570"/>
      <c r="E63" s="570"/>
      <c r="F63" s="570"/>
      <c r="G63" s="570"/>
      <c r="H63" s="570"/>
      <c r="I63" s="570"/>
      <c r="J63" s="570"/>
      <c r="K63" s="570"/>
      <c r="L63" s="570"/>
      <c r="M63" s="570"/>
      <c r="N63" s="570"/>
      <c r="O63" s="570"/>
      <c r="P63" s="570"/>
      <c r="Q63" s="570"/>
      <c r="T63" s="89">
        <v>4000</v>
      </c>
      <c r="U63" s="89">
        <v>5000</v>
      </c>
    </row>
    <row r="64" spans="1:23">
      <c r="A64" s="92"/>
      <c r="B64" s="570"/>
      <c r="C64" s="570"/>
      <c r="D64" s="570"/>
      <c r="E64" s="570"/>
      <c r="F64" s="570"/>
      <c r="G64" s="570"/>
      <c r="H64" s="570"/>
      <c r="I64" s="570"/>
      <c r="J64" s="570"/>
      <c r="K64" s="570"/>
      <c r="L64" s="570"/>
      <c r="M64" s="570"/>
      <c r="N64" s="570"/>
      <c r="O64" s="570"/>
      <c r="P64" s="570"/>
      <c r="Q64" s="570"/>
      <c r="T64" s="89">
        <v>6000</v>
      </c>
      <c r="U64" s="89">
        <v>7000</v>
      </c>
    </row>
    <row r="65" spans="1:21">
      <c r="A65" s="91" t="s">
        <v>82</v>
      </c>
      <c r="B65" s="570" t="s">
        <v>81</v>
      </c>
      <c r="C65" s="570"/>
      <c r="D65" s="570"/>
      <c r="E65" s="570"/>
      <c r="F65" s="570"/>
      <c r="G65" s="570"/>
      <c r="H65" s="570"/>
      <c r="I65" s="570"/>
      <c r="J65" s="570"/>
      <c r="K65" s="570"/>
      <c r="L65" s="570"/>
      <c r="M65" s="570"/>
      <c r="N65" s="570"/>
      <c r="O65" s="570"/>
      <c r="P65" s="570"/>
      <c r="Q65" s="570"/>
      <c r="T65" s="89">
        <v>8000</v>
      </c>
      <c r="U65" s="89">
        <v>9000</v>
      </c>
    </row>
    <row r="66" spans="1:21">
      <c r="A66" s="92"/>
      <c r="B66" s="570" t="s">
        <v>80</v>
      </c>
      <c r="C66" s="570"/>
      <c r="D66" s="570"/>
      <c r="E66" s="570"/>
      <c r="F66" s="570"/>
      <c r="G66" s="570"/>
      <c r="H66" s="570"/>
      <c r="I66" s="570"/>
      <c r="J66" s="570"/>
      <c r="K66" s="570"/>
      <c r="L66" s="570"/>
      <c r="M66" s="570"/>
      <c r="N66" s="570"/>
      <c r="O66" s="570"/>
      <c r="P66" s="570"/>
      <c r="Q66" s="570"/>
      <c r="T66" s="89">
        <v>10000</v>
      </c>
      <c r="U66" s="89">
        <v>11000</v>
      </c>
    </row>
    <row r="67" spans="1:21">
      <c r="A67" s="91" t="s">
        <v>79</v>
      </c>
      <c r="B67" s="570" t="s">
        <v>78</v>
      </c>
      <c r="C67" s="570"/>
      <c r="D67" s="570"/>
      <c r="E67" s="570"/>
      <c r="F67" s="570"/>
      <c r="G67" s="570"/>
      <c r="H67" s="570"/>
      <c r="I67" s="570"/>
      <c r="J67" s="570"/>
      <c r="K67" s="570"/>
      <c r="L67" s="570"/>
      <c r="M67" s="570"/>
      <c r="N67" s="570"/>
      <c r="O67" s="570"/>
      <c r="P67" s="570"/>
      <c r="Q67" s="570"/>
      <c r="T67" s="89">
        <v>12000</v>
      </c>
      <c r="U67" s="89">
        <v>14500</v>
      </c>
    </row>
    <row r="68" spans="1:21">
      <c r="T68" s="89">
        <v>17000</v>
      </c>
    </row>
    <row r="168" spans="3:3">
      <c r="C168" s="88"/>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46"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K15"/>
  <sheetViews>
    <sheetView workbookViewId="0">
      <selection activeCell="B17" sqref="B17"/>
    </sheetView>
  </sheetViews>
  <sheetFormatPr defaultRowHeight="13.5"/>
  <cols>
    <col min="1" max="1" width="13.625" style="30" customWidth="1"/>
    <col min="2" max="2" width="25" style="30" customWidth="1"/>
    <col min="3" max="3" width="25.375" style="30" customWidth="1"/>
    <col min="4" max="4" width="17.625" style="30" customWidth="1"/>
    <col min="5" max="5" width="9" style="30"/>
    <col min="6" max="6" width="14.375" style="30" customWidth="1"/>
    <col min="7" max="7" width="10.125" style="30" customWidth="1"/>
    <col min="8" max="8" width="15.875" style="30" customWidth="1"/>
    <col min="9" max="10" width="9" style="30"/>
    <col min="11" max="11" width="17.875" style="30" customWidth="1"/>
    <col min="12" max="16384" width="9" style="30"/>
  </cols>
  <sheetData>
    <row r="1" spans="1:11" ht="26.25" customHeight="1">
      <c r="B1" s="66"/>
      <c r="C1" s="64"/>
      <c r="D1" s="65" t="s">
        <v>1</v>
      </c>
      <c r="E1" s="65"/>
      <c r="F1" s="65"/>
      <c r="H1" s="63">
        <v>0.441</v>
      </c>
    </row>
    <row r="2" spans="1:11">
      <c r="A2" s="30" t="s">
        <v>42</v>
      </c>
      <c r="B2" s="62" t="s">
        <v>228</v>
      </c>
      <c r="C2" s="34" t="s">
        <v>229</v>
      </c>
      <c r="D2" s="62" t="s">
        <v>41</v>
      </c>
      <c r="E2" s="62" t="s">
        <v>40</v>
      </c>
      <c r="F2" s="62" t="s">
        <v>39</v>
      </c>
      <c r="G2" s="62" t="s">
        <v>38</v>
      </c>
    </row>
    <row r="3" spans="1:11" customFormat="1" ht="30" customHeight="1">
      <c r="A3" s="318" t="s">
        <v>278</v>
      </c>
      <c r="B3" s="268" t="s">
        <v>216</v>
      </c>
      <c r="C3" s="268" t="s">
        <v>73</v>
      </c>
      <c r="D3" s="59">
        <v>2.02</v>
      </c>
      <c r="E3" s="59">
        <v>3.14</v>
      </c>
      <c r="F3" s="270">
        <f>-H3</f>
        <v>-1.1299999999999999</v>
      </c>
      <c r="G3" s="271">
        <v>46000</v>
      </c>
      <c r="H3" s="30">
        <f t="shared" ref="H3:H14" si="0">ROUND((G3*0.2)/3600*$H$1,2)</f>
        <v>1.1299999999999999</v>
      </c>
      <c r="I3" s="3" t="s">
        <v>221</v>
      </c>
      <c r="J3">
        <v>1.57</v>
      </c>
      <c r="K3" t="s">
        <v>232</v>
      </c>
    </row>
    <row r="4" spans="1:11" customFormat="1" ht="30" customHeight="1">
      <c r="A4" s="318" t="s">
        <v>279</v>
      </c>
      <c r="B4" s="268" t="s">
        <v>217</v>
      </c>
      <c r="C4" s="268" t="s">
        <v>222</v>
      </c>
      <c r="D4" s="59">
        <v>1.96</v>
      </c>
      <c r="E4" s="59">
        <v>3.14</v>
      </c>
      <c r="F4" s="270">
        <f t="shared" ref="F4:F8" si="1">-H4</f>
        <v>-1.1299999999999999</v>
      </c>
      <c r="G4" s="271">
        <v>46000</v>
      </c>
      <c r="H4" s="30">
        <f t="shared" si="0"/>
        <v>1.1299999999999999</v>
      </c>
      <c r="I4" s="3" t="s">
        <v>221</v>
      </c>
      <c r="J4">
        <v>1.57</v>
      </c>
      <c r="K4" t="s">
        <v>232</v>
      </c>
    </row>
    <row r="5" spans="1:11" customFormat="1" ht="30" customHeight="1">
      <c r="A5" s="318" t="s">
        <v>280</v>
      </c>
      <c r="B5" s="268" t="s">
        <v>218</v>
      </c>
      <c r="C5" s="268" t="s">
        <v>77</v>
      </c>
      <c r="D5" s="59">
        <v>2.0099999999999998</v>
      </c>
      <c r="E5" s="59">
        <v>3.14</v>
      </c>
      <c r="F5" s="270">
        <f t="shared" si="1"/>
        <v>-1.08</v>
      </c>
      <c r="G5" s="271">
        <v>44000</v>
      </c>
      <c r="H5" s="30">
        <f t="shared" si="0"/>
        <v>1.08</v>
      </c>
      <c r="I5" s="3" t="s">
        <v>221</v>
      </c>
      <c r="J5">
        <v>1.23</v>
      </c>
      <c r="K5" t="s">
        <v>223</v>
      </c>
    </row>
    <row r="6" spans="1:11" customFormat="1" ht="30" customHeight="1">
      <c r="A6" s="318" t="s">
        <v>281</v>
      </c>
      <c r="B6" s="268" t="s">
        <v>219</v>
      </c>
      <c r="C6" s="268" t="s">
        <v>76</v>
      </c>
      <c r="D6" s="61">
        <v>3.05</v>
      </c>
      <c r="E6" s="59">
        <v>3.39</v>
      </c>
      <c r="F6" s="270">
        <f t="shared" si="1"/>
        <v>-0.98</v>
      </c>
      <c r="G6" s="271">
        <v>40200</v>
      </c>
      <c r="H6" s="30">
        <f t="shared" si="0"/>
        <v>0.98</v>
      </c>
      <c r="I6" s="3" t="s">
        <v>221</v>
      </c>
      <c r="J6">
        <v>1.23</v>
      </c>
      <c r="K6" t="s">
        <v>223</v>
      </c>
    </row>
    <row r="7" spans="1:11" customFormat="1" ht="30" customHeight="1">
      <c r="A7" s="318" t="s">
        <v>282</v>
      </c>
      <c r="B7" s="268" t="s">
        <v>220</v>
      </c>
      <c r="C7" s="268" t="s">
        <v>277</v>
      </c>
      <c r="D7" s="59">
        <v>3.72</v>
      </c>
      <c r="E7" s="59">
        <v>3.39</v>
      </c>
      <c r="F7" s="270">
        <f t="shared" si="1"/>
        <v>-0.98</v>
      </c>
      <c r="G7" s="271">
        <v>40200</v>
      </c>
      <c r="H7" s="30">
        <f t="shared" si="0"/>
        <v>0.98</v>
      </c>
      <c r="I7" s="3" t="s">
        <v>221</v>
      </c>
      <c r="J7">
        <v>1.23</v>
      </c>
      <c r="K7" t="s">
        <v>223</v>
      </c>
    </row>
    <row r="8" spans="1:11" customFormat="1" ht="30" customHeight="1">
      <c r="A8" s="318" t="s">
        <v>283</v>
      </c>
      <c r="B8" s="268" t="s">
        <v>271</v>
      </c>
      <c r="C8" s="268" t="s">
        <v>275</v>
      </c>
      <c r="D8" s="59">
        <v>3.39</v>
      </c>
      <c r="E8" s="59">
        <v>1.41</v>
      </c>
      <c r="F8" s="270">
        <f t="shared" si="1"/>
        <v>-0.56000000000000005</v>
      </c>
      <c r="G8" s="271">
        <v>23000</v>
      </c>
      <c r="H8" s="30">
        <f t="shared" si="0"/>
        <v>0.56000000000000005</v>
      </c>
      <c r="I8" s="3" t="s">
        <v>221</v>
      </c>
      <c r="J8">
        <v>1.68</v>
      </c>
      <c r="K8" t="s">
        <v>225</v>
      </c>
    </row>
    <row r="9" spans="1:11" customFormat="1" ht="30" customHeight="1">
      <c r="A9" s="318" t="s">
        <v>284</v>
      </c>
      <c r="B9" s="268" t="s">
        <v>272</v>
      </c>
      <c r="C9" s="268" t="s">
        <v>276</v>
      </c>
      <c r="D9" s="59">
        <v>3.2</v>
      </c>
      <c r="E9" s="59">
        <v>2.29</v>
      </c>
      <c r="F9" s="270">
        <f t="shared" ref="F9:F13" si="2">-H9</f>
        <v>-0.56000000000000005</v>
      </c>
      <c r="G9" s="271">
        <v>23000</v>
      </c>
      <c r="H9" s="30">
        <f t="shared" si="0"/>
        <v>0.56000000000000005</v>
      </c>
      <c r="I9" s="3" t="s">
        <v>221</v>
      </c>
      <c r="J9">
        <v>1.68</v>
      </c>
      <c r="K9" t="s">
        <v>225</v>
      </c>
    </row>
    <row r="10" spans="1:11" customFormat="1" ht="30" customHeight="1">
      <c r="A10" s="318" t="s">
        <v>285</v>
      </c>
      <c r="B10" s="268" t="s">
        <v>273</v>
      </c>
      <c r="C10" s="272" t="s">
        <v>226</v>
      </c>
      <c r="D10" s="59">
        <v>4.92</v>
      </c>
      <c r="E10" s="59">
        <v>2.02</v>
      </c>
      <c r="F10" s="270">
        <f t="shared" si="2"/>
        <v>-0.78</v>
      </c>
      <c r="G10" s="271">
        <v>32000</v>
      </c>
      <c r="H10" s="30">
        <f t="shared" si="0"/>
        <v>0.78</v>
      </c>
      <c r="I10" s="3" t="s">
        <v>221</v>
      </c>
      <c r="J10">
        <v>1.57</v>
      </c>
      <c r="K10" t="s">
        <v>232</v>
      </c>
    </row>
    <row r="11" spans="1:11" customFormat="1" ht="30" customHeight="1">
      <c r="A11" s="318" t="s">
        <v>286</v>
      </c>
      <c r="B11" s="268" t="s">
        <v>274</v>
      </c>
      <c r="C11" s="272" t="s">
        <v>227</v>
      </c>
      <c r="D11" s="59">
        <v>16.2</v>
      </c>
      <c r="E11" s="59">
        <v>2.34</v>
      </c>
      <c r="F11" s="270">
        <f t="shared" si="2"/>
        <v>-0.78</v>
      </c>
      <c r="G11" s="271">
        <v>32000</v>
      </c>
      <c r="H11" s="30">
        <f t="shared" si="0"/>
        <v>0.78</v>
      </c>
      <c r="I11" s="3" t="s">
        <v>221</v>
      </c>
      <c r="J11">
        <v>1.57</v>
      </c>
      <c r="K11" t="s">
        <v>232</v>
      </c>
    </row>
    <row r="12" spans="1:11" customFormat="1" ht="30" customHeight="1">
      <c r="A12" s="318" t="s">
        <v>309</v>
      </c>
      <c r="B12" s="268" t="s">
        <v>311</v>
      </c>
      <c r="C12" s="377" t="s">
        <v>307</v>
      </c>
      <c r="D12" s="59">
        <v>3.13</v>
      </c>
      <c r="E12" s="59">
        <v>2.77</v>
      </c>
      <c r="F12" s="378">
        <f t="shared" si="2"/>
        <v>-0.93</v>
      </c>
      <c r="G12" s="58">
        <v>37900</v>
      </c>
      <c r="H12" s="30">
        <f t="shared" si="0"/>
        <v>0.93</v>
      </c>
      <c r="I12" s="3" t="s">
        <v>221</v>
      </c>
      <c r="J12">
        <v>1.57</v>
      </c>
      <c r="K12" t="s">
        <v>232</v>
      </c>
    </row>
    <row r="13" spans="1:11" customFormat="1" ht="30" customHeight="1">
      <c r="A13" s="318" t="s">
        <v>310</v>
      </c>
      <c r="B13" s="268" t="s">
        <v>312</v>
      </c>
      <c r="C13" s="377" t="s">
        <v>308</v>
      </c>
      <c r="D13" s="59">
        <v>8.82</v>
      </c>
      <c r="E13" s="59">
        <v>3.13</v>
      </c>
      <c r="F13" s="378">
        <f t="shared" si="2"/>
        <v>-0.72</v>
      </c>
      <c r="G13" s="58">
        <v>29200</v>
      </c>
      <c r="H13" s="30">
        <f t="shared" si="0"/>
        <v>0.72</v>
      </c>
      <c r="I13" s="3" t="s">
        <v>221</v>
      </c>
      <c r="J13">
        <v>1.57</v>
      </c>
      <c r="K13" t="s">
        <v>232</v>
      </c>
    </row>
    <row r="14" spans="1:11" customFormat="1" ht="30" customHeight="1">
      <c r="B14" s="272"/>
      <c r="C14" s="272"/>
      <c r="D14" s="269"/>
      <c r="E14" s="269"/>
      <c r="F14" s="270"/>
      <c r="G14" s="271"/>
      <c r="H14" s="30">
        <f t="shared" si="0"/>
        <v>0</v>
      </c>
      <c r="I14" s="3" t="s">
        <v>221</v>
      </c>
    </row>
    <row r="15" spans="1:11" customFormat="1">
      <c r="B15">
        <v>1</v>
      </c>
      <c r="C15">
        <v>5</v>
      </c>
      <c r="D15">
        <v>2</v>
      </c>
      <c r="E15">
        <v>3</v>
      </c>
      <c r="F15">
        <v>4</v>
      </c>
      <c r="G15">
        <v>6</v>
      </c>
      <c r="H15">
        <v>7</v>
      </c>
      <c r="I15">
        <v>8</v>
      </c>
      <c r="J15">
        <v>9</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F42"/>
  <sheetViews>
    <sheetView zoomScaleNormal="100" workbookViewId="0">
      <selection activeCell="G32" sqref="G32"/>
    </sheetView>
  </sheetViews>
  <sheetFormatPr defaultRowHeight="13.5"/>
  <cols>
    <col min="1" max="1" width="17.75" style="67" customWidth="1"/>
    <col min="2" max="2" width="42.125" style="67" customWidth="1"/>
    <col min="3" max="3" width="7.75" style="67" customWidth="1"/>
    <col min="4" max="5" width="17.75" style="67" customWidth="1"/>
    <col min="6" max="16384" width="9" style="67"/>
  </cols>
  <sheetData>
    <row r="1" spans="1:5" ht="36.75" customHeight="1">
      <c r="A1" s="81" t="s">
        <v>65</v>
      </c>
      <c r="B1" s="81" t="s">
        <v>0</v>
      </c>
      <c r="C1" s="80" t="s">
        <v>50</v>
      </c>
      <c r="D1" s="79" t="s">
        <v>49</v>
      </c>
    </row>
    <row r="2" spans="1:5" ht="30" customHeight="1">
      <c r="A2" s="375" t="s">
        <v>303</v>
      </c>
      <c r="B2" s="76" t="s">
        <v>70</v>
      </c>
      <c r="C2" s="77" t="s">
        <v>66</v>
      </c>
      <c r="D2" s="76">
        <v>0.35199999999999998</v>
      </c>
      <c r="E2" s="67" t="s">
        <v>52</v>
      </c>
    </row>
    <row r="3" spans="1:5" ht="30" customHeight="1">
      <c r="A3" s="375" t="s">
        <v>304</v>
      </c>
      <c r="B3" s="76" t="s">
        <v>69</v>
      </c>
      <c r="C3" s="77" t="s">
        <v>66</v>
      </c>
      <c r="D3" s="76">
        <v>0.62</v>
      </c>
      <c r="E3" s="67" t="s">
        <v>52</v>
      </c>
    </row>
    <row r="4" spans="1:5" ht="30" customHeight="1">
      <c r="A4" s="375" t="s">
        <v>305</v>
      </c>
      <c r="B4" s="76" t="s">
        <v>68</v>
      </c>
      <c r="C4" s="77" t="s">
        <v>66</v>
      </c>
      <c r="D4" s="76">
        <v>0.193</v>
      </c>
      <c r="E4" s="67" t="s">
        <v>52</v>
      </c>
    </row>
    <row r="5" spans="1:5" ht="30" customHeight="1">
      <c r="A5" s="375" t="s">
        <v>306</v>
      </c>
      <c r="B5" s="76" t="s">
        <v>67</v>
      </c>
      <c r="C5" s="77" t="s">
        <v>66</v>
      </c>
      <c r="D5" s="76">
        <v>0.33900000000000002</v>
      </c>
      <c r="E5" s="67" t="s">
        <v>52</v>
      </c>
    </row>
    <row r="9" spans="1:5" ht="40.5" customHeight="1">
      <c r="A9" s="81" t="s">
        <v>65</v>
      </c>
      <c r="B9" s="81" t="s">
        <v>0</v>
      </c>
      <c r="C9" s="80" t="s">
        <v>50</v>
      </c>
      <c r="D9" s="79" t="s">
        <v>49</v>
      </c>
    </row>
    <row r="10" spans="1:5" ht="40.5" customHeight="1">
      <c r="A10" s="84" t="s">
        <v>287</v>
      </c>
      <c r="B10" s="84" t="s">
        <v>64</v>
      </c>
      <c r="C10" s="77" t="s">
        <v>60</v>
      </c>
      <c r="D10" s="79">
        <v>0.432</v>
      </c>
      <c r="E10" s="67" t="s">
        <v>52</v>
      </c>
    </row>
    <row r="11" spans="1:5" ht="40.5" customHeight="1">
      <c r="A11" s="84" t="s">
        <v>288</v>
      </c>
      <c r="B11" s="84" t="s">
        <v>63</v>
      </c>
      <c r="C11" s="77" t="s">
        <v>60</v>
      </c>
      <c r="D11" s="319">
        <v>3</v>
      </c>
      <c r="E11" s="67" t="s">
        <v>52</v>
      </c>
    </row>
    <row r="12" spans="1:5" ht="40.5" customHeight="1">
      <c r="A12" s="83" t="s">
        <v>289</v>
      </c>
      <c r="B12" s="76" t="s">
        <v>62</v>
      </c>
      <c r="C12" s="77" t="s">
        <v>60</v>
      </c>
      <c r="D12" s="76">
        <v>0.193</v>
      </c>
      <c r="E12" s="67" t="s">
        <v>52</v>
      </c>
    </row>
    <row r="13" spans="1:5" ht="40.5" customHeight="1">
      <c r="A13" s="83" t="s">
        <v>290</v>
      </c>
      <c r="B13" s="76" t="s">
        <v>61</v>
      </c>
      <c r="C13" s="77" t="s">
        <v>60</v>
      </c>
      <c r="D13" s="320">
        <v>1.1000000000000001</v>
      </c>
      <c r="E13" s="67" t="s">
        <v>52</v>
      </c>
    </row>
    <row r="14" spans="1:5" ht="40.5" customHeight="1">
      <c r="A14" s="83" t="s">
        <v>291</v>
      </c>
      <c r="B14" s="76" t="s">
        <v>59</v>
      </c>
      <c r="C14" s="77" t="s">
        <v>55</v>
      </c>
      <c r="D14" s="320">
        <v>1.99</v>
      </c>
      <c r="E14" s="67" t="s">
        <v>52</v>
      </c>
    </row>
    <row r="15" spans="1:5" ht="41.25" customHeight="1">
      <c r="A15" s="83" t="s">
        <v>292</v>
      </c>
      <c r="B15" s="76" t="s">
        <v>58</v>
      </c>
      <c r="C15" s="77" t="s">
        <v>55</v>
      </c>
      <c r="D15" s="76">
        <v>0.33600000000000002</v>
      </c>
      <c r="E15" s="67" t="s">
        <v>52</v>
      </c>
    </row>
    <row r="16" spans="1:5" ht="41.25" customHeight="1">
      <c r="A16" s="83" t="s">
        <v>293</v>
      </c>
      <c r="B16" s="76" t="s">
        <v>57</v>
      </c>
      <c r="C16" s="77" t="s">
        <v>55</v>
      </c>
      <c r="D16" s="76">
        <v>1.99</v>
      </c>
      <c r="E16" s="67" t="s">
        <v>52</v>
      </c>
    </row>
    <row r="17" spans="1:6" ht="41.25" customHeight="1">
      <c r="A17" s="76" t="s">
        <v>294</v>
      </c>
      <c r="B17" s="76" t="s">
        <v>56</v>
      </c>
      <c r="C17" s="77" t="s">
        <v>55</v>
      </c>
      <c r="D17" s="76">
        <v>0.51100000000000001</v>
      </c>
      <c r="E17" s="67" t="s">
        <v>52</v>
      </c>
    </row>
    <row r="18" spans="1:6" ht="41.25" customHeight="1">
      <c r="A18" s="76" t="s">
        <v>296</v>
      </c>
      <c r="B18" s="38" t="s">
        <v>297</v>
      </c>
      <c r="C18" s="37" t="s">
        <v>53</v>
      </c>
      <c r="D18" s="38">
        <v>6.4000000000000003E-3</v>
      </c>
      <c r="E18" s="67" t="s">
        <v>52</v>
      </c>
    </row>
    <row r="19" spans="1:6" s="30" customFormat="1" ht="38.25" customHeight="1">
      <c r="A19" s="38"/>
      <c r="B19" s="38" t="s">
        <v>295</v>
      </c>
      <c r="C19" s="37" t="s">
        <v>53</v>
      </c>
      <c r="D19" s="321">
        <v>2.0499999999999998</v>
      </c>
      <c r="E19" s="67" t="s">
        <v>52</v>
      </c>
    </row>
    <row r="20" spans="1:6" s="30" customFormat="1" ht="38.25" customHeight="1">
      <c r="A20" s="38"/>
      <c r="B20" s="38" t="s">
        <v>298</v>
      </c>
      <c r="C20" s="37" t="s">
        <v>60</v>
      </c>
      <c r="D20" s="321">
        <v>1.73</v>
      </c>
      <c r="E20" s="67" t="s">
        <v>52</v>
      </c>
    </row>
    <row r="21" spans="1:6" s="30" customFormat="1" ht="38.25" customHeight="1">
      <c r="A21" s="38"/>
      <c r="B21" s="38" t="s">
        <v>319</v>
      </c>
      <c r="C21" s="37" t="s">
        <v>60</v>
      </c>
      <c r="D21" s="376">
        <f>E39</f>
        <v>-0.46</v>
      </c>
      <c r="E21" s="67" t="s">
        <v>52</v>
      </c>
    </row>
    <row r="22" spans="1:6" s="30" customFormat="1" ht="38.25" customHeight="1">
      <c r="A22" s="38"/>
      <c r="B22" s="38"/>
      <c r="C22" s="37"/>
      <c r="D22" s="376"/>
      <c r="E22" s="67" t="s">
        <v>52</v>
      </c>
    </row>
    <row r="23" spans="1:6" ht="21.75" customHeight="1">
      <c r="C23" s="82"/>
    </row>
    <row r="24" spans="1:6" ht="40.5" customHeight="1">
      <c r="A24" s="81" t="s">
        <v>51</v>
      </c>
      <c r="B24" s="81" t="s">
        <v>0</v>
      </c>
      <c r="C24" s="80" t="s">
        <v>50</v>
      </c>
      <c r="D24" s="79" t="s">
        <v>49</v>
      </c>
    </row>
    <row r="25" spans="1:6" ht="43.5" customHeight="1">
      <c r="A25" s="78" t="s">
        <v>313</v>
      </c>
      <c r="B25" s="76" t="s">
        <v>48</v>
      </c>
      <c r="C25" s="77" t="s">
        <v>47</v>
      </c>
      <c r="D25" s="76">
        <v>0.441</v>
      </c>
    </row>
    <row r="26" spans="1:6" s="30" customFormat="1" ht="38.25" customHeight="1">
      <c r="A26" s="38"/>
      <c r="B26" s="38" t="s">
        <v>46</v>
      </c>
      <c r="C26" s="37" t="s">
        <v>45</v>
      </c>
      <c r="D26" s="75">
        <f>D35/1000</f>
        <v>38.299999999999997</v>
      </c>
      <c r="E26" s="74">
        <f>ROUND((D26*0.2)*1000/3600*D25,2)</f>
        <v>0.94</v>
      </c>
      <c r="F26" s="30">
        <f>E26/2</f>
        <v>0.47</v>
      </c>
    </row>
    <row r="27" spans="1:6" s="30" customFormat="1" ht="39" customHeight="1">
      <c r="A27" s="38"/>
      <c r="B27" s="38" t="s">
        <v>44</v>
      </c>
      <c r="C27" s="37" t="s">
        <v>43</v>
      </c>
      <c r="D27" s="38"/>
      <c r="E27" s="73">
        <f>C35</f>
        <v>2.99</v>
      </c>
    </row>
    <row r="29" spans="1:6" s="30" customFormat="1">
      <c r="A29" s="62" t="s">
        <v>0</v>
      </c>
      <c r="B29" s="62" t="s">
        <v>41</v>
      </c>
      <c r="C29" s="62" t="s">
        <v>40</v>
      </c>
      <c r="D29" s="62" t="s">
        <v>38</v>
      </c>
      <c r="E29" s="72"/>
    </row>
    <row r="30" spans="1:6" s="30" customFormat="1" ht="29.25" customHeight="1">
      <c r="A30" s="60" t="s">
        <v>73</v>
      </c>
      <c r="B30" s="59">
        <v>2.02</v>
      </c>
      <c r="C30" s="59">
        <v>3.14</v>
      </c>
      <c r="D30" s="58">
        <v>46000</v>
      </c>
    </row>
    <row r="31" spans="1:6" s="30" customFormat="1" ht="29.25" customHeight="1">
      <c r="A31" s="60" t="s">
        <v>222</v>
      </c>
      <c r="B31" s="59">
        <v>1.96</v>
      </c>
      <c r="C31" s="59">
        <v>3.14</v>
      </c>
      <c r="D31" s="58">
        <v>46000</v>
      </c>
    </row>
    <row r="32" spans="1:6" s="30" customFormat="1" ht="29.25" customHeight="1">
      <c r="A32" s="60" t="s">
        <v>77</v>
      </c>
      <c r="B32" s="59">
        <v>2.0099999999999998</v>
      </c>
      <c r="C32" s="59">
        <v>3.14</v>
      </c>
      <c r="D32" s="58">
        <v>44000</v>
      </c>
    </row>
    <row r="33" spans="1:6" s="30" customFormat="1" ht="29.25" customHeight="1">
      <c r="A33" s="60" t="s">
        <v>76</v>
      </c>
      <c r="B33" s="61">
        <v>3.05</v>
      </c>
      <c r="C33" s="59">
        <v>3.39</v>
      </c>
      <c r="D33" s="58">
        <v>40200</v>
      </c>
    </row>
    <row r="34" spans="1:6" s="30" customFormat="1" ht="29.25" customHeight="1">
      <c r="A34" s="60" t="s">
        <v>224</v>
      </c>
      <c r="B34" s="59">
        <v>3.2</v>
      </c>
      <c r="C34" s="59">
        <v>2.29</v>
      </c>
      <c r="D34" s="58">
        <v>23000</v>
      </c>
    </row>
    <row r="35" spans="1:6" s="30" customFormat="1" ht="27" customHeight="1">
      <c r="A35" s="38" t="s">
        <v>318</v>
      </c>
      <c r="B35" s="71">
        <f>E26</f>
        <v>0.94</v>
      </c>
      <c r="C35" s="70">
        <v>2.99</v>
      </c>
      <c r="D35" s="69">
        <v>38300</v>
      </c>
      <c r="F35" s="68"/>
    </row>
    <row r="36" spans="1:6" s="30" customFormat="1" ht="33.75" customHeight="1"/>
    <row r="37" spans="1:6" s="30" customFormat="1">
      <c r="C37" s="422" t="s">
        <v>323</v>
      </c>
    </row>
    <row r="38" spans="1:6" s="30" customFormat="1">
      <c r="C38" s="422" t="s">
        <v>323</v>
      </c>
    </row>
    <row r="39" spans="1:6" s="30" customFormat="1">
      <c r="B39" s="30" t="s">
        <v>320</v>
      </c>
      <c r="C39" s="30">
        <v>4500</v>
      </c>
      <c r="D39" s="30">
        <f>ROUND(C39*D41,-2)</f>
        <v>18800</v>
      </c>
      <c r="E39" s="30">
        <f>-ROUND((D39*0.2)/3600*D25,2)</f>
        <v>-0.46</v>
      </c>
    </row>
    <row r="40" spans="1:6" s="30" customFormat="1">
      <c r="C40" s="231" t="s">
        <v>322</v>
      </c>
      <c r="D40" s="231" t="s">
        <v>321</v>
      </c>
    </row>
    <row r="41" spans="1:6" s="30" customFormat="1">
      <c r="D41" s="30">
        <v>4.1870000000000003</v>
      </c>
    </row>
    <row r="42" spans="1:6">
      <c r="C42" s="422"/>
    </row>
  </sheetData>
  <phoneticPr fontId="2"/>
  <hyperlinks>
    <hyperlink ref="A25" r:id="rId1" xr:uid="{D347FFA5-1485-413B-BF02-3A327753A7EF}"/>
    <hyperlink ref="C38" r:id="rId2" display="https://www.bing.com/search?q=PLA%e3%81%ae%e7%87%83%e7%84%bc%e7%86%b1&amp;qs=n&amp;sp=-1&amp;lq=0&amp;pq=pla%e3%81%ae%e7%87%83%e7%84%bc%e7%86%b1&amp;sc=0-7&amp;sk=&amp;cvid=05569A31AE41445CA0CC4424873A1966&amp;ghsh=0&amp;ghacc=0&amp;ghpl=&amp;first=1&amp;FORM=PERE" xr:uid="{53270EBE-065B-454E-80D1-DD043662B4A0}"/>
    <hyperlink ref="C37" r:id="rId3" display="https://www.bing.com/search?q=PLA%e3%81%ae%e7%87%83%e7%84%bc%e7%86%b1&amp;qs=n&amp;sp=-1&amp;lq=0&amp;pq=pla%e3%81%ae%e7%87%83%e7%84%bc%e7%86%b1&amp;sc=0-7&amp;sk=&amp;cvid=05569A31AE41445CA0CC4424873A1966&amp;ghsh=0&amp;ghacc=0&amp;ghpl=&amp;first=1&amp;FORM=PERE" xr:uid="{57C96B77-9855-4D58-A3FE-B810F750AAAA}"/>
  </hyperlinks>
  <pageMargins left="0.7" right="0.7" top="0.75" bottom="0.75" header="0.3" footer="0.3"/>
  <pageSetup paperSize="9" orientation="portrait" horizontalDpi="4294967293" verticalDpi="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3" ma:contentTypeDescription="Create a new document." ma:contentTypeScope="" ma:versionID="b42b393d50e0bf2f9185cd681e6db982">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66704c669d5730d04c75ec24c182d56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D67E79CD-BF4D-4113-A00D-E54646A24F46}"/>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5BC81F76-6458-45F7-B5E5-26D3CF692C8E}">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入力シート!Print_Area</vt:lpstr>
      <vt:lpstr>バイオ原単位表</vt:lpstr>
      <vt:lpstr>バイオ素材名</vt:lpstr>
      <vt:lpstr>石油原単位表</vt:lpstr>
      <vt:lpstr>石油素材</vt:lpstr>
      <vt:lpstr>入力範囲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dc:creator>
  <cp:lastModifiedBy>福田 裕</cp:lastModifiedBy>
  <cp:lastPrinted>2023-05-16T02:20:45Z</cp:lastPrinted>
  <dcterms:created xsi:type="dcterms:W3CDTF">2019-01-24T06:21:46Z</dcterms:created>
  <dcterms:modified xsi:type="dcterms:W3CDTF">2023-05-16T02:22:55Z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